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141A7804-146E-4BD6-9855-0CA780364939}" xr6:coauthVersionLast="47" xr6:coauthVersionMax="47" xr10:uidLastSave="{00000000-0000-0000-0000-000000000000}"/>
  <bookViews>
    <workbookView xWindow="-120" yWindow="-120" windowWidth="29040" windowHeight="15840" xr2:uid="{B24C4035-8F3E-4B66-A66B-D189928E09A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1" i="1" l="1"/>
  <c r="H273" i="1" s="1"/>
  <c r="N271" i="1"/>
  <c r="N273" i="1" s="1"/>
  <c r="C271" i="1"/>
  <c r="C273" i="1" s="1"/>
  <c r="N272" i="1"/>
  <c r="N265" i="1" s="1"/>
  <c r="D220" i="1"/>
  <c r="N266" i="1"/>
  <c r="H266" i="1"/>
  <c r="C266" i="1"/>
  <c r="H272" i="1" l="1"/>
  <c r="H265" i="1" s="1"/>
  <c r="H267" i="1" s="1"/>
  <c r="N267" i="1"/>
  <c r="C272" i="1"/>
  <c r="C265" i="1" s="1"/>
  <c r="C267" i="1" s="1"/>
  <c r="N250" i="1"/>
  <c r="N257" i="1"/>
  <c r="C245" i="1"/>
  <c r="C247" i="1" s="1"/>
  <c r="N246" i="1"/>
  <c r="N255" i="1" s="1"/>
  <c r="N245" i="1"/>
  <c r="N238" i="1"/>
  <c r="N237" i="1"/>
  <c r="N244" i="1"/>
  <c r="N243" i="1"/>
  <c r="H237" i="1"/>
  <c r="H238" i="1"/>
  <c r="H257" i="1"/>
  <c r="H250" i="1"/>
  <c r="H246" i="1"/>
  <c r="H255" i="1" s="1"/>
  <c r="C246" i="1"/>
  <c r="C255" i="1" s="1"/>
  <c r="H245" i="1"/>
  <c r="H247" i="1" s="1"/>
  <c r="H244" i="1"/>
  <c r="H243" i="1"/>
  <c r="C244" i="1"/>
  <c r="C243" i="1"/>
  <c r="C250" i="1"/>
  <c r="C238" i="1"/>
  <c r="C257" i="1"/>
  <c r="C237" i="1"/>
  <c r="N206" i="1"/>
  <c r="N175" i="1"/>
  <c r="N194" i="1"/>
  <c r="N163" i="1"/>
  <c r="N132" i="1"/>
  <c r="N139" i="1"/>
  <c r="N201" i="1"/>
  <c r="N208" i="1"/>
  <c r="N170" i="1"/>
  <c r="N177" i="1"/>
  <c r="N144" i="1"/>
  <c r="N247" i="1" l="1"/>
  <c r="N256" i="1" s="1"/>
  <c r="N202" i="1"/>
  <c r="N171" i="1"/>
  <c r="H256" i="1"/>
  <c r="C256" i="1"/>
  <c r="N207" i="1"/>
  <c r="N209" i="1" s="1"/>
  <c r="D223" i="1" s="1"/>
  <c r="N176" i="1"/>
  <c r="N178" i="1" s="1"/>
  <c r="D221" i="1" s="1"/>
  <c r="D222" i="1" s="1"/>
  <c r="N140" i="1"/>
  <c r="N145" i="1" s="1"/>
  <c r="D101" i="1"/>
  <c r="D100" i="1"/>
  <c r="D99" i="1"/>
  <c r="C259" i="1" s="1"/>
  <c r="C27" i="1"/>
  <c r="C24" i="1"/>
  <c r="C25" i="1"/>
  <c r="C26" i="1" s="1"/>
  <c r="N258" i="1" l="1"/>
  <c r="N259" i="1"/>
  <c r="N260" i="1"/>
  <c r="H258" i="1"/>
  <c r="C258" i="1"/>
  <c r="C260" i="1" s="1"/>
  <c r="H259" i="1"/>
  <c r="H260" i="1" s="1"/>
  <c r="N146" i="1"/>
  <c r="N147" i="1" s="1"/>
</calcChain>
</file>

<file path=xl/sharedStrings.xml><?xml version="1.0" encoding="utf-8"?>
<sst xmlns="http://schemas.openxmlformats.org/spreadsheetml/2006/main" count="402" uniqueCount="135">
  <si>
    <t>Variables for Calculations</t>
  </si>
  <si>
    <t xml:space="preserve">Description </t>
  </si>
  <si>
    <t>Value</t>
  </si>
  <si>
    <t>Unit</t>
  </si>
  <si>
    <t>Input power (P)</t>
  </si>
  <si>
    <t>HP</t>
  </si>
  <si>
    <t>Input speed (N)</t>
  </si>
  <si>
    <t>RPM</t>
  </si>
  <si>
    <t>Pinion 1 diameter (dp)</t>
  </si>
  <si>
    <t>in</t>
  </si>
  <si>
    <t>Pitch line velocity (V)</t>
  </si>
  <si>
    <t>(ft/min)</t>
  </si>
  <si>
    <t>Tangential load (Wtp1)</t>
  </si>
  <si>
    <t>lbf in</t>
  </si>
  <si>
    <t>Radial load (Wrp1)</t>
  </si>
  <si>
    <t>Torque (T)</t>
  </si>
  <si>
    <t>lb-in</t>
  </si>
  <si>
    <t>Beginning to A</t>
  </si>
  <si>
    <t>A-B</t>
  </si>
  <si>
    <t>B-C</t>
  </si>
  <si>
    <t>C-End</t>
  </si>
  <si>
    <t>Y-Direction Forces (Radial)</t>
  </si>
  <si>
    <t>Formula</t>
  </si>
  <si>
    <t>Variable</t>
  </si>
  <si>
    <t>Summation of Forces</t>
  </si>
  <si>
    <t>F=0=-Ray(0)+Wrp1(2)-Rcy(4)</t>
  </si>
  <si>
    <t>Ray=46.017</t>
  </si>
  <si>
    <t>lbf</t>
  </si>
  <si>
    <t>Summation of Forcs</t>
  </si>
  <si>
    <t>M=0=-Ray(0)+Wrp1(2)-Rcy(4)</t>
  </si>
  <si>
    <t>Rcy=46.017</t>
  </si>
  <si>
    <t>Va+</t>
  </si>
  <si>
    <t>Va+=Va--P</t>
  </si>
  <si>
    <t>Vb+</t>
  </si>
  <si>
    <t>Vb+=Vb--P</t>
  </si>
  <si>
    <t>Vc+</t>
  </si>
  <si>
    <t>Vc+=Vc--P</t>
  </si>
  <si>
    <t>Ma</t>
  </si>
  <si>
    <t>Ma=0</t>
  </si>
  <si>
    <t>lbf*in</t>
  </si>
  <si>
    <t>Mb</t>
  </si>
  <si>
    <t>Mb=Ma+area</t>
  </si>
  <si>
    <t>Mc</t>
  </si>
  <si>
    <t>Mc=Mb+area</t>
  </si>
  <si>
    <t>Z-Direction Forces (Tangential)</t>
  </si>
  <si>
    <t>F=0=-Raz(0)+Wtp1(2)-Rcz(4)</t>
  </si>
  <si>
    <t>Raz=126.431</t>
  </si>
  <si>
    <t>M=0=-Raz(0)+Wtp1(2)-Rcz(4)</t>
  </si>
  <si>
    <t>Rcz=126.431</t>
  </si>
  <si>
    <t>Alternating Bending Moment</t>
  </si>
  <si>
    <t>MAa=sqrt(May^2+Maz^2)</t>
  </si>
  <si>
    <t>MAa=</t>
  </si>
  <si>
    <t>MBa=sqrt(Mby^2+Mbz^2)</t>
  </si>
  <si>
    <t>MBa=</t>
  </si>
  <si>
    <t>MCa=sqrt(Mcy^2+Mcz^2)</t>
  </si>
  <si>
    <t>MCa=</t>
  </si>
  <si>
    <t>Torque</t>
  </si>
  <si>
    <t>Torque Variables</t>
  </si>
  <si>
    <t>am</t>
  </si>
  <si>
    <t>bm</t>
  </si>
  <si>
    <t>cm</t>
  </si>
  <si>
    <t>Shoulder @ Location B</t>
  </si>
  <si>
    <t>7-1 Well Rounded Fillet</t>
  </si>
  <si>
    <t>Description</t>
  </si>
  <si>
    <t>Material Chosen</t>
  </si>
  <si>
    <t>AISI 1095 Q&amp;T at 315C</t>
  </si>
  <si>
    <t>Tensile Strength</t>
  </si>
  <si>
    <t>psi</t>
  </si>
  <si>
    <t>Yield Strength</t>
  </si>
  <si>
    <t>Kb(assumption)</t>
  </si>
  <si>
    <t>Kt(endmill keyseat)</t>
  </si>
  <si>
    <t>Kts(endmill keyseat)</t>
  </si>
  <si>
    <t>q(assumption)</t>
  </si>
  <si>
    <t>qs(assumption)</t>
  </si>
  <si>
    <t>Ka</t>
  </si>
  <si>
    <t xml:space="preserve">      a</t>
  </si>
  <si>
    <t xml:space="preserve">      b</t>
  </si>
  <si>
    <t>Kc(bending+torsion)</t>
  </si>
  <si>
    <t>Kd</t>
  </si>
  <si>
    <t>Ke</t>
  </si>
  <si>
    <t>Kg</t>
  </si>
  <si>
    <t>Se'</t>
  </si>
  <si>
    <t>Se</t>
  </si>
  <si>
    <t>Kf</t>
  </si>
  <si>
    <t>Kfs</t>
  </si>
  <si>
    <t>Safety Factor (assumption)</t>
  </si>
  <si>
    <t>16n/pi</t>
  </si>
  <si>
    <t>1/Se *((4*(kf*Ma)^2 +(3*kfs*Ta)^2)^0.5)</t>
  </si>
  <si>
    <t>1/Sy *((4*(kf*Mm)^2 +(3*kfs*Tm)^2)^0.5)</t>
  </si>
  <si>
    <t>D2 Soderberg</t>
  </si>
  <si>
    <t>Keyseat @ Location B</t>
  </si>
  <si>
    <t>7-1 Endmill Keyseat</t>
  </si>
  <si>
    <t>Shoulder @ Location A</t>
  </si>
  <si>
    <t>7-1 Well Rounded Shoulder</t>
  </si>
  <si>
    <t>D1 Soderberg</t>
  </si>
  <si>
    <t>Diameter Calculations and Results</t>
  </si>
  <si>
    <t>D1</t>
  </si>
  <si>
    <t>D2</t>
  </si>
  <si>
    <t>D3, D3/D2=1.2</t>
  </si>
  <si>
    <t>D4, D4=D1</t>
  </si>
  <si>
    <t>Selection:</t>
  </si>
  <si>
    <t>D3</t>
  </si>
  <si>
    <t>D4</t>
  </si>
  <si>
    <t>Factor of Safety</t>
  </si>
  <si>
    <t>Location at B</t>
  </si>
  <si>
    <t>Location at A</t>
  </si>
  <si>
    <t>Well Rounded Fillet</t>
  </si>
  <si>
    <t>r/d=0.1</t>
  </si>
  <si>
    <t>End Mill Keyseat</t>
  </si>
  <si>
    <t>r/d=0.2</t>
  </si>
  <si>
    <t>Well Rounded Shoulder</t>
  </si>
  <si>
    <t>r</t>
  </si>
  <si>
    <t>D3/D2</t>
  </si>
  <si>
    <t>D2/D1</t>
  </si>
  <si>
    <t>Kt (from table A15-9)</t>
  </si>
  <si>
    <t>Kts (from table A15-8)</t>
  </si>
  <si>
    <t>q (from figure 6-20)</t>
  </si>
  <si>
    <t>qs (from figure 6-21)</t>
  </si>
  <si>
    <t>Sut</t>
  </si>
  <si>
    <t>Sy</t>
  </si>
  <si>
    <t>a (machined)</t>
  </si>
  <si>
    <t>b (machined)</t>
  </si>
  <si>
    <t>Kb</t>
  </si>
  <si>
    <t>Kc</t>
  </si>
  <si>
    <t>16/(pi*d^3)</t>
  </si>
  <si>
    <t>Factor of Safety, n</t>
  </si>
  <si>
    <t>Location at B Shoulder</t>
  </si>
  <si>
    <t>Location at B Keyseat</t>
  </si>
  <si>
    <t>Location at A Shoulder</t>
  </si>
  <si>
    <t>Factor of Safety Yielding</t>
  </si>
  <si>
    <t>Max Von Mises (σ' max)</t>
  </si>
  <si>
    <t>Yield Strength (Sy)</t>
  </si>
  <si>
    <t>Z=(pi*(d)^3)/32</t>
  </si>
  <si>
    <t>σy​=My/Z</t>
  </si>
  <si>
    <t>σz=Mz/Z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</si>
</sst>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5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55">
    <xf numFmtId="0" fontId="0" fillId="0" borderId="0" xfId="0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righ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0" fillId="0" borderId="7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1" xfId="0" applyBorder="1" applyAlignment="1">
      <alignment horizontal="right" wrapText="1"/>
    </xf>
    <xf numFmtId="0" fontId="0" fillId="0" borderId="12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164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2" fontId="0" fillId="3" borderId="11" xfId="0" applyNumberFormat="1" applyFill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" fontId="0" fillId="0" borderId="6" xfId="0" applyNumberFormat="1" applyBorder="1" applyAlignment="1">
      <alignment horizontal="right" wrapText="1"/>
    </xf>
    <xf numFmtId="1" fontId="0" fillId="0" borderId="1" xfId="2" applyNumberFormat="1" applyFont="1" applyBorder="1" applyAlignment="1">
      <alignment horizontal="right" wrapText="1"/>
    </xf>
    <xf numFmtId="0" fontId="0" fillId="2" borderId="2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0" fillId="3" borderId="9" xfId="0" applyFill="1" applyBorder="1" applyAlignment="1">
      <alignment horizontal="left" wrapText="1"/>
    </xf>
    <xf numFmtId="0" fontId="0" fillId="2" borderId="10" xfId="0" applyFill="1" applyBorder="1" applyAlignment="1">
      <alignment horizontal="left"/>
    </xf>
    <xf numFmtId="0" fontId="0" fillId="3" borderId="12" xfId="0" applyFill="1" applyBorder="1" applyAlignment="1">
      <alignment horizontal="left" wrapText="1"/>
    </xf>
    <xf numFmtId="164" fontId="0" fillId="0" borderId="6" xfId="0" applyNumberFormat="1" applyBorder="1" applyAlignment="1">
      <alignment horizontal="left"/>
    </xf>
    <xf numFmtId="2" fontId="0" fillId="3" borderId="1" xfId="0" applyNumberFormat="1" applyFill="1" applyBorder="1" applyAlignment="1">
      <alignment horizontal="left"/>
    </xf>
    <xf numFmtId="2" fontId="0" fillId="3" borderId="11" xfId="0" applyNumberFormat="1" applyFill="1" applyBorder="1" applyAlignment="1">
      <alignment horizontal="left"/>
    </xf>
    <xf numFmtId="0" fontId="0" fillId="0" borderId="1" xfId="0" applyBorder="1"/>
    <xf numFmtId="0" fontId="0" fillId="0" borderId="9" xfId="0" applyBorder="1"/>
    <xf numFmtId="0" fontId="0" fillId="0" borderId="13" xfId="0" applyBorder="1"/>
    <xf numFmtId="0" fontId="0" fillId="0" borderId="15" xfId="0" applyBorder="1"/>
    <xf numFmtId="0" fontId="0" fillId="0" borderId="3" xfId="0" applyBorder="1"/>
    <xf numFmtId="0" fontId="0" fillId="0" borderId="4" xfId="0" applyBorder="1"/>
    <xf numFmtId="0" fontId="4" fillId="2" borderId="14" xfId="0" applyFont="1" applyFill="1" applyBorder="1"/>
    <xf numFmtId="0" fontId="0" fillId="2" borderId="8" xfId="0" applyFill="1" applyBorder="1"/>
    <xf numFmtId="0" fontId="0" fillId="2" borderId="10" xfId="0" applyFill="1" applyBorder="1"/>
    <xf numFmtId="0" fontId="4" fillId="2" borderId="2" xfId="0" applyFont="1" applyFill="1" applyBorder="1"/>
    <xf numFmtId="0" fontId="0" fillId="2" borderId="17" xfId="0" applyFill="1" applyBorder="1" applyAlignment="1">
      <alignment horizontal="left" wrapText="1"/>
    </xf>
    <xf numFmtId="0" fontId="0" fillId="2" borderId="16" xfId="0" applyFill="1" applyBorder="1" applyAlignment="1">
      <alignment horizontal="left" wrapText="1"/>
    </xf>
    <xf numFmtId="0" fontId="0" fillId="2" borderId="18" xfId="0" applyFill="1" applyBorder="1" applyAlignment="1">
      <alignment horizontal="left" wrapText="1"/>
    </xf>
    <xf numFmtId="0" fontId="0" fillId="2" borderId="19" xfId="0" applyFill="1" applyBorder="1" applyAlignment="1">
      <alignment horizontal="left" wrapText="1"/>
    </xf>
    <xf numFmtId="0" fontId="4" fillId="0" borderId="0" xfId="0" applyFont="1"/>
    <xf numFmtId="164" fontId="0" fillId="0" borderId="1" xfId="0" applyNumberFormat="1" applyBorder="1"/>
    <xf numFmtId="0" fontId="0" fillId="3" borderId="11" xfId="0" applyFill="1" applyBorder="1"/>
    <xf numFmtId="0" fontId="0" fillId="3" borderId="12" xfId="0" applyFill="1" applyBorder="1"/>
    <xf numFmtId="0" fontId="1" fillId="2" borderId="0" xfId="0" applyFont="1" applyFill="1"/>
  </cellXfs>
  <cellStyles count="3">
    <cellStyle name="Comma" xfId="2" builtinId="3"/>
    <cellStyle name="Normal" xfId="0" builtinId="0"/>
    <cellStyle name="Normal 2" xfId="1" xr:uid="{281AB315-AE36-4111-9C7A-F90FF8A659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466724</xdr:colOff>
      <xdr:row>43</xdr:row>
      <xdr:rowOff>47624</xdr:rowOff>
    </xdr:from>
    <xdr:to>
      <xdr:col>12</xdr:col>
      <xdr:colOff>1713055</xdr:colOff>
      <xdr:row>63</xdr:row>
      <xdr:rowOff>143569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7AB275-2333-524E-94F4-5A0E162B8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53599" y="8239124"/>
          <a:ext cx="2322656" cy="3905945"/>
        </a:xfrm>
        <a:prstGeom prst="rect">
          <a:avLst/>
        </a:prstGeom>
      </xdr:spPr>
    </xdr:pic>
    <xdr:clientData/>
  </xdr:twoCellAnchor>
  <xdr:twoCellAnchor editAs="oneCell">
    <xdr:from>
      <xdr:col>9</xdr:col>
      <xdr:colOff>466724</xdr:colOff>
      <xdr:row>35</xdr:row>
      <xdr:rowOff>129639</xdr:rowOff>
    </xdr:from>
    <xdr:to>
      <xdr:col>12</xdr:col>
      <xdr:colOff>1666875</xdr:colOff>
      <xdr:row>43</xdr:row>
      <xdr:rowOff>67009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5F4E98-9243-174A-0594-094BEA74D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3599" y="6797139"/>
          <a:ext cx="2276476" cy="1461370"/>
        </a:xfrm>
        <a:prstGeom prst="rect">
          <a:avLst/>
        </a:prstGeom>
      </xdr:spPr>
    </xdr:pic>
    <xdr:clientData/>
  </xdr:twoCellAnchor>
  <xdr:twoCellAnchor editAs="oneCell">
    <xdr:from>
      <xdr:col>9</xdr:col>
      <xdr:colOff>542925</xdr:colOff>
      <xdr:row>73</xdr:row>
      <xdr:rowOff>95249</xdr:rowOff>
    </xdr:from>
    <xdr:to>
      <xdr:col>12</xdr:col>
      <xdr:colOff>1551963</xdr:colOff>
      <xdr:row>92</xdr:row>
      <xdr:rowOff>143670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5435047-54BF-7A7A-27B5-28E861B17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29800" y="14001749"/>
          <a:ext cx="2161563" cy="3667921"/>
        </a:xfrm>
        <a:prstGeom prst="rect">
          <a:avLst/>
        </a:prstGeom>
      </xdr:spPr>
    </xdr:pic>
    <xdr:clientData/>
  </xdr:twoCellAnchor>
  <xdr:twoCellAnchor editAs="oneCell">
    <xdr:from>
      <xdr:col>9</xdr:col>
      <xdr:colOff>561975</xdr:colOff>
      <xdr:row>66</xdr:row>
      <xdr:rowOff>76200</xdr:rowOff>
    </xdr:from>
    <xdr:to>
      <xdr:col>12</xdr:col>
      <xdr:colOff>1517883</xdr:colOff>
      <xdr:row>73</xdr:row>
      <xdr:rowOff>95588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3ED5798-E97A-413C-FAB5-0EFED95E0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848850" y="12649200"/>
          <a:ext cx="2127483" cy="1352888"/>
        </a:xfrm>
        <a:prstGeom prst="rect">
          <a:avLst/>
        </a:prstGeom>
      </xdr:spPr>
    </xdr:pic>
    <xdr:clientData/>
  </xdr:twoCellAnchor>
  <xdr:twoCellAnchor editAs="oneCell">
    <xdr:from>
      <xdr:col>9</xdr:col>
      <xdr:colOff>114300</xdr:colOff>
      <xdr:row>0</xdr:row>
      <xdr:rowOff>126585</xdr:rowOff>
    </xdr:from>
    <xdr:to>
      <xdr:col>13</xdr:col>
      <xdr:colOff>714375</xdr:colOff>
      <xdr:row>14</xdr:row>
      <xdr:rowOff>20343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B504215-FACB-B038-9B9F-5C0C55048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00950" y="126585"/>
          <a:ext cx="4019550" cy="2560758"/>
        </a:xfrm>
        <a:prstGeom prst="rect">
          <a:avLst/>
        </a:prstGeom>
      </xdr:spPr>
    </xdr:pic>
    <xdr:clientData/>
  </xdr:twoCellAnchor>
  <xdr:twoCellAnchor editAs="oneCell">
    <xdr:from>
      <xdr:col>9</xdr:col>
      <xdr:colOff>447675</xdr:colOff>
      <xdr:row>106</xdr:row>
      <xdr:rowOff>66674</xdr:rowOff>
    </xdr:from>
    <xdr:to>
      <xdr:col>13</xdr:col>
      <xdr:colOff>142875</xdr:colOff>
      <xdr:row>117</xdr:row>
      <xdr:rowOff>69718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BF6398D-A94A-C5C6-CB9C-D06030011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34325" y="20259674"/>
          <a:ext cx="3276600" cy="2098544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162633</xdr:rowOff>
    </xdr:from>
    <xdr:to>
      <xdr:col>2</xdr:col>
      <xdr:colOff>1362075</xdr:colOff>
      <xdr:row>13</xdr:row>
      <xdr:rowOff>67035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AF37336-707B-EA2A-FA1D-875ED4668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5775" y="162633"/>
          <a:ext cx="3848100" cy="2380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09805-412C-435C-AD3C-A742155625C5}">
  <dimension ref="A16:Z273"/>
  <sheetViews>
    <sheetView tabSelected="1" topLeftCell="A231" zoomScale="95" zoomScaleNormal="95" workbookViewId="0">
      <selection activeCell="G71" sqref="G71"/>
    </sheetView>
  </sheetViews>
  <sheetFormatPr defaultRowHeight="15" x14ac:dyDescent="0.25"/>
  <cols>
    <col min="2" max="2" width="35.42578125" customWidth="1"/>
    <col min="3" max="3" width="29" customWidth="1"/>
    <col min="4" max="4" width="12.7109375" customWidth="1"/>
    <col min="5" max="5" width="8.140625" customWidth="1"/>
    <col min="6" max="6" width="3.140625" customWidth="1"/>
    <col min="7" max="7" width="34.85546875" customWidth="1"/>
    <col min="8" max="8" width="27.85546875" customWidth="1"/>
    <col min="9" max="9" width="11.28515625" customWidth="1"/>
    <col min="10" max="10" width="4.28515625" customWidth="1"/>
    <col min="11" max="11" width="5.140625" customWidth="1"/>
    <col min="12" max="12" width="4" customWidth="1"/>
    <col min="13" max="13" width="37.85546875" customWidth="1"/>
    <col min="14" max="14" width="25.140625" customWidth="1"/>
    <col min="15" max="15" width="8.7109375" customWidth="1"/>
    <col min="16" max="16" width="11.5703125" bestFit="1" customWidth="1"/>
  </cols>
  <sheetData>
    <row r="16" spans="1:26" ht="15" customHeight="1" x14ac:dyDescent="0.25">
      <c r="A16" s="54" t="s">
        <v>0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20" spans="1:26" x14ac:dyDescent="0.25">
      <c r="B20" s="1" t="s">
        <v>1</v>
      </c>
      <c r="C20" s="2" t="s">
        <v>2</v>
      </c>
      <c r="D20" s="2" t="s">
        <v>3</v>
      </c>
    </row>
    <row r="21" spans="1:26" x14ac:dyDescent="0.25">
      <c r="B21" s="1" t="s">
        <v>4</v>
      </c>
      <c r="C21" s="2">
        <v>4</v>
      </c>
      <c r="D21" s="3" t="s">
        <v>5</v>
      </c>
    </row>
    <row r="22" spans="1:26" x14ac:dyDescent="0.25">
      <c r="B22" s="1" t="s">
        <v>6</v>
      </c>
      <c r="C22" s="2">
        <v>1500</v>
      </c>
      <c r="D22" s="3" t="s">
        <v>7</v>
      </c>
    </row>
    <row r="23" spans="1:26" x14ac:dyDescent="0.25">
      <c r="B23" s="1" t="s">
        <v>8</v>
      </c>
      <c r="C23" s="17">
        <v>1.33</v>
      </c>
      <c r="D23" s="3" t="s">
        <v>9</v>
      </c>
    </row>
    <row r="24" spans="1:26" x14ac:dyDescent="0.25">
      <c r="B24" s="1" t="s">
        <v>10</v>
      </c>
      <c r="C24" s="17">
        <f>(3.14*C23*C22)/12</f>
        <v>522.02500000000009</v>
      </c>
      <c r="D24" s="3" t="s">
        <v>11</v>
      </c>
    </row>
    <row r="25" spans="1:26" x14ac:dyDescent="0.25">
      <c r="B25" s="1" t="s">
        <v>12</v>
      </c>
      <c r="C25" s="17">
        <f>33000*(C21/C24)</f>
        <v>252.86145299554616</v>
      </c>
      <c r="D25" s="3" t="s">
        <v>13</v>
      </c>
    </row>
    <row r="26" spans="1:26" x14ac:dyDescent="0.25">
      <c r="B26" s="1" t="s">
        <v>14</v>
      </c>
      <c r="C26" s="17">
        <f>C25*(TAN(RADIANS(20)))</f>
        <v>92.034042283681245</v>
      </c>
      <c r="D26" s="3" t="s">
        <v>13</v>
      </c>
    </row>
    <row r="27" spans="1:26" x14ac:dyDescent="0.25">
      <c r="B27" s="1" t="s">
        <v>15</v>
      </c>
      <c r="C27" s="17">
        <f>63000*(C21/C22)</f>
        <v>168</v>
      </c>
      <c r="D27" s="3" t="s">
        <v>16</v>
      </c>
    </row>
    <row r="28" spans="1:26" x14ac:dyDescent="0.25">
      <c r="B28" s="1" t="s">
        <v>17</v>
      </c>
      <c r="C28" s="17">
        <v>1</v>
      </c>
      <c r="D28" s="3" t="s">
        <v>9</v>
      </c>
    </row>
    <row r="29" spans="1:26" x14ac:dyDescent="0.25">
      <c r="B29" s="1" t="s">
        <v>18</v>
      </c>
      <c r="C29" s="17">
        <v>2</v>
      </c>
      <c r="D29" s="3" t="s">
        <v>9</v>
      </c>
    </row>
    <row r="30" spans="1:26" x14ac:dyDescent="0.25">
      <c r="B30" s="1" t="s">
        <v>19</v>
      </c>
      <c r="C30" s="17">
        <v>2</v>
      </c>
      <c r="D30" s="3" t="s">
        <v>9</v>
      </c>
    </row>
    <row r="31" spans="1:26" x14ac:dyDescent="0.25">
      <c r="B31" s="1" t="s">
        <v>20</v>
      </c>
      <c r="C31" s="17">
        <v>0.5</v>
      </c>
      <c r="D31" s="3" t="s">
        <v>9</v>
      </c>
    </row>
    <row r="34" spans="1:26" ht="15" customHeight="1" x14ac:dyDescent="0.25">
      <c r="A34" s="54" t="s">
        <v>21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8" spans="1:26" x14ac:dyDescent="0.25">
      <c r="B38" s="1" t="s">
        <v>22</v>
      </c>
      <c r="C38" s="2" t="s">
        <v>23</v>
      </c>
      <c r="D38" s="2" t="s">
        <v>2</v>
      </c>
      <c r="E38" s="2" t="s">
        <v>3</v>
      </c>
    </row>
    <row r="39" spans="1:26" x14ac:dyDescent="0.25">
      <c r="B39" s="1" t="s">
        <v>24</v>
      </c>
      <c r="C39" s="2" t="s">
        <v>25</v>
      </c>
      <c r="D39" s="2" t="s">
        <v>26</v>
      </c>
      <c r="E39" s="3" t="s">
        <v>27</v>
      </c>
    </row>
    <row r="40" spans="1:26" x14ac:dyDescent="0.25">
      <c r="B40" s="1" t="s">
        <v>28</v>
      </c>
      <c r="C40" s="2" t="s">
        <v>29</v>
      </c>
      <c r="D40" s="2" t="s">
        <v>30</v>
      </c>
      <c r="E40" s="3" t="s">
        <v>27</v>
      </c>
    </row>
    <row r="44" spans="1:26" x14ac:dyDescent="0.25">
      <c r="B44" s="1" t="s">
        <v>22</v>
      </c>
      <c r="C44" s="2" t="s">
        <v>23</v>
      </c>
      <c r="D44" s="2" t="s">
        <v>2</v>
      </c>
      <c r="E44" s="2" t="s">
        <v>3</v>
      </c>
    </row>
    <row r="45" spans="1:26" x14ac:dyDescent="0.25">
      <c r="B45" s="1" t="s">
        <v>31</v>
      </c>
      <c r="C45" s="2" t="s">
        <v>32</v>
      </c>
      <c r="D45" s="2">
        <v>46.017000000000003</v>
      </c>
      <c r="E45" s="3" t="s">
        <v>27</v>
      </c>
    </row>
    <row r="46" spans="1:26" x14ac:dyDescent="0.25">
      <c r="B46" s="1" t="s">
        <v>33</v>
      </c>
      <c r="C46" s="2" t="s">
        <v>34</v>
      </c>
      <c r="D46" s="2">
        <v>-46.017000000000003</v>
      </c>
      <c r="E46" s="3" t="s">
        <v>27</v>
      </c>
    </row>
    <row r="47" spans="1:26" x14ac:dyDescent="0.25">
      <c r="B47" s="1" t="s">
        <v>35</v>
      </c>
      <c r="C47" s="2" t="s">
        <v>36</v>
      </c>
      <c r="D47" s="2">
        <v>0</v>
      </c>
      <c r="E47" s="3" t="s">
        <v>27</v>
      </c>
    </row>
    <row r="51" spans="2:5" x14ac:dyDescent="0.25">
      <c r="B51" s="1" t="s">
        <v>22</v>
      </c>
      <c r="C51" s="2" t="s">
        <v>23</v>
      </c>
      <c r="D51" s="2" t="s">
        <v>2</v>
      </c>
      <c r="E51" s="2" t="s">
        <v>3</v>
      </c>
    </row>
    <row r="52" spans="2:5" x14ac:dyDescent="0.25">
      <c r="B52" s="1" t="s">
        <v>37</v>
      </c>
      <c r="C52" s="2" t="s">
        <v>38</v>
      </c>
      <c r="D52" s="2">
        <v>0</v>
      </c>
      <c r="E52" s="3" t="s">
        <v>39</v>
      </c>
    </row>
    <row r="53" spans="2:5" x14ac:dyDescent="0.25">
      <c r="B53" s="1" t="s">
        <v>40</v>
      </c>
      <c r="C53" s="2" t="s">
        <v>41</v>
      </c>
      <c r="D53" s="2">
        <v>92.034000000000006</v>
      </c>
      <c r="E53" s="3" t="s">
        <v>39</v>
      </c>
    </row>
    <row r="54" spans="2:5" x14ac:dyDescent="0.25">
      <c r="B54" s="1" t="s">
        <v>42</v>
      </c>
      <c r="C54" s="2" t="s">
        <v>43</v>
      </c>
      <c r="D54" s="2">
        <v>0</v>
      </c>
      <c r="E54" s="3" t="s">
        <v>39</v>
      </c>
    </row>
    <row r="65" spans="1:26" ht="15" customHeight="1" x14ac:dyDescent="0.25">
      <c r="A65" s="54" t="s">
        <v>44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9" spans="1:26" x14ac:dyDescent="0.25">
      <c r="B69" s="1" t="s">
        <v>22</v>
      </c>
      <c r="C69" s="2" t="s">
        <v>23</v>
      </c>
      <c r="D69" s="2" t="s">
        <v>2</v>
      </c>
      <c r="E69" s="2" t="s">
        <v>3</v>
      </c>
    </row>
    <row r="70" spans="1:26" x14ac:dyDescent="0.25">
      <c r="B70" s="1" t="s">
        <v>24</v>
      </c>
      <c r="C70" s="2" t="s">
        <v>45</v>
      </c>
      <c r="D70" s="2" t="s">
        <v>46</v>
      </c>
      <c r="E70" s="3" t="s">
        <v>27</v>
      </c>
    </row>
    <row r="71" spans="1:26" x14ac:dyDescent="0.25">
      <c r="B71" s="1" t="s">
        <v>28</v>
      </c>
      <c r="C71" s="2" t="s">
        <v>47</v>
      </c>
      <c r="D71" s="2" t="s">
        <v>48</v>
      </c>
      <c r="E71" s="3" t="s">
        <v>27</v>
      </c>
    </row>
    <row r="75" spans="1:26" x14ac:dyDescent="0.25">
      <c r="B75" s="1" t="s">
        <v>22</v>
      </c>
      <c r="C75" s="2" t="s">
        <v>23</v>
      </c>
      <c r="D75" s="2" t="s">
        <v>2</v>
      </c>
      <c r="E75" s="2" t="s">
        <v>3</v>
      </c>
    </row>
    <row r="76" spans="1:26" x14ac:dyDescent="0.25">
      <c r="B76" s="1" t="s">
        <v>31</v>
      </c>
      <c r="C76" s="2" t="s">
        <v>32</v>
      </c>
      <c r="D76" s="2">
        <v>126.431</v>
      </c>
      <c r="E76" s="3" t="s">
        <v>27</v>
      </c>
    </row>
    <row r="77" spans="1:26" x14ac:dyDescent="0.25">
      <c r="B77" s="1" t="s">
        <v>33</v>
      </c>
      <c r="C77" s="2" t="s">
        <v>34</v>
      </c>
      <c r="D77" s="2">
        <v>-126.431</v>
      </c>
      <c r="E77" s="3" t="s">
        <v>27</v>
      </c>
    </row>
    <row r="78" spans="1:26" x14ac:dyDescent="0.25">
      <c r="B78" s="1" t="s">
        <v>35</v>
      </c>
      <c r="C78" s="2" t="s">
        <v>36</v>
      </c>
      <c r="D78" s="2">
        <v>0</v>
      </c>
      <c r="E78" s="3" t="s">
        <v>27</v>
      </c>
    </row>
    <row r="82" spans="1:26" x14ac:dyDescent="0.25">
      <c r="B82" s="1" t="s">
        <v>22</v>
      </c>
      <c r="C82" s="2" t="s">
        <v>23</v>
      </c>
      <c r="D82" s="2" t="s">
        <v>2</v>
      </c>
      <c r="E82" s="2" t="s">
        <v>3</v>
      </c>
    </row>
    <row r="83" spans="1:26" x14ac:dyDescent="0.25">
      <c r="B83" s="1" t="s">
        <v>37</v>
      </c>
      <c r="C83" s="2" t="s">
        <v>38</v>
      </c>
      <c r="D83" s="2">
        <v>0</v>
      </c>
      <c r="E83" s="3" t="s">
        <v>39</v>
      </c>
    </row>
    <row r="84" spans="1:26" x14ac:dyDescent="0.25">
      <c r="B84" s="1" t="s">
        <v>40</v>
      </c>
      <c r="C84" s="2" t="s">
        <v>41</v>
      </c>
      <c r="D84" s="17">
        <v>252.86099999999999</v>
      </c>
      <c r="E84" s="3" t="s">
        <v>39</v>
      </c>
    </row>
    <row r="85" spans="1:26" x14ac:dyDescent="0.25">
      <c r="B85" s="1" t="s">
        <v>42</v>
      </c>
      <c r="C85" s="2" t="s">
        <v>43</v>
      </c>
      <c r="D85" s="2">
        <v>0</v>
      </c>
      <c r="E85" s="3" t="s">
        <v>39</v>
      </c>
    </row>
    <row r="94" spans="1:26" ht="15" customHeight="1" x14ac:dyDescent="0.25">
      <c r="A94" s="54" t="s">
        <v>49</v>
      </c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x14ac:dyDescent="0.2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8" spans="1:26" x14ac:dyDescent="0.25">
      <c r="B98" s="1" t="s">
        <v>22</v>
      </c>
      <c r="C98" s="2" t="s">
        <v>23</v>
      </c>
      <c r="D98" s="2" t="s">
        <v>2</v>
      </c>
      <c r="E98" s="2" t="s">
        <v>3</v>
      </c>
    </row>
    <row r="99" spans="1:26" x14ac:dyDescent="0.25">
      <c r="B99" s="1" t="s">
        <v>50</v>
      </c>
      <c r="C99" s="2" t="s">
        <v>51</v>
      </c>
      <c r="D99" s="2">
        <f>SQRT(D52^2+D83^2)</f>
        <v>0</v>
      </c>
      <c r="E99" s="3" t="s">
        <v>39</v>
      </c>
    </row>
    <row r="100" spans="1:26" x14ac:dyDescent="0.25">
      <c r="B100" s="1" t="s">
        <v>52</v>
      </c>
      <c r="C100" s="2" t="s">
        <v>53</v>
      </c>
      <c r="D100" s="17">
        <f>SQRT(D53^2+D84^2)</f>
        <v>269.08909765540483</v>
      </c>
      <c r="E100" s="3" t="s">
        <v>39</v>
      </c>
    </row>
    <row r="101" spans="1:26" x14ac:dyDescent="0.25">
      <c r="B101" s="1" t="s">
        <v>54</v>
      </c>
      <c r="C101" s="2" t="s">
        <v>55</v>
      </c>
      <c r="D101" s="2">
        <f>SQRT(D54^2+D85^2)</f>
        <v>0</v>
      </c>
      <c r="E101" s="3" t="s">
        <v>39</v>
      </c>
    </row>
    <row r="105" spans="1:26" ht="15" customHeight="1" x14ac:dyDescent="0.25">
      <c r="A105" s="54" t="s">
        <v>56</v>
      </c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x14ac:dyDescent="0.2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9" spans="1:26" x14ac:dyDescent="0.25">
      <c r="B109" s="1" t="s">
        <v>57</v>
      </c>
      <c r="C109" s="2" t="s">
        <v>2</v>
      </c>
      <c r="D109" s="2" t="s">
        <v>3</v>
      </c>
      <c r="E109" s="4"/>
    </row>
    <row r="110" spans="1:26" x14ac:dyDescent="0.25">
      <c r="B110" s="1" t="s">
        <v>58</v>
      </c>
      <c r="C110" s="2">
        <v>168</v>
      </c>
      <c r="D110" s="3" t="s">
        <v>39</v>
      </c>
      <c r="E110" s="5"/>
    </row>
    <row r="111" spans="1:26" x14ac:dyDescent="0.25">
      <c r="B111" s="1" t="s">
        <v>59</v>
      </c>
      <c r="C111" s="2">
        <v>168</v>
      </c>
      <c r="D111" s="3" t="s">
        <v>39</v>
      </c>
      <c r="E111" s="5"/>
    </row>
    <row r="112" spans="1:26" x14ac:dyDescent="0.25">
      <c r="B112" s="1" t="s">
        <v>60</v>
      </c>
      <c r="C112" s="2">
        <v>0</v>
      </c>
      <c r="D112" s="3" t="s">
        <v>39</v>
      </c>
      <c r="E112" s="5"/>
    </row>
    <row r="119" spans="1:26" ht="15" customHeight="1" x14ac:dyDescent="0.25">
      <c r="A119" s="54" t="s">
        <v>61</v>
      </c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2" spans="1:26" ht="15.75" thickBot="1" x14ac:dyDescent="0.3"/>
    <row r="123" spans="1:26" ht="15.75" customHeight="1" thickBot="1" x14ac:dyDescent="0.3">
      <c r="I123" t="s">
        <v>62</v>
      </c>
      <c r="J123" s="5"/>
      <c r="K123" s="5"/>
      <c r="L123" s="5"/>
      <c r="M123" s="46" t="s">
        <v>63</v>
      </c>
      <c r="N123" s="9" t="s">
        <v>2</v>
      </c>
      <c r="O123" s="10" t="s">
        <v>3</v>
      </c>
      <c r="P123" s="6"/>
      <c r="Q123" s="7"/>
    </row>
    <row r="124" spans="1:26" ht="15" customHeight="1" x14ac:dyDescent="0.25">
      <c r="J124" s="5"/>
      <c r="K124" s="5"/>
      <c r="L124" s="5"/>
      <c r="M124" s="47" t="s">
        <v>64</v>
      </c>
      <c r="N124" s="16" t="s">
        <v>65</v>
      </c>
      <c r="O124" s="12"/>
      <c r="P124" s="7"/>
      <c r="Q124" s="7"/>
    </row>
    <row r="125" spans="1:26" ht="15" customHeight="1" x14ac:dyDescent="0.25">
      <c r="J125" s="5"/>
      <c r="K125" s="5"/>
      <c r="L125" s="5"/>
      <c r="M125" s="48" t="s">
        <v>66</v>
      </c>
      <c r="N125" s="8">
        <v>183000</v>
      </c>
      <c r="O125" s="13" t="s">
        <v>67</v>
      </c>
      <c r="P125" s="7"/>
      <c r="Q125" s="7"/>
    </row>
    <row r="126" spans="1:26" ht="15.75" customHeight="1" thickBot="1" x14ac:dyDescent="0.3">
      <c r="J126" s="5"/>
      <c r="K126" s="5"/>
      <c r="L126" s="5"/>
      <c r="M126" s="49" t="s">
        <v>68</v>
      </c>
      <c r="N126" s="14">
        <v>118000</v>
      </c>
      <c r="O126" s="15" t="s">
        <v>67</v>
      </c>
      <c r="P126" s="7"/>
      <c r="Q126" s="7"/>
    </row>
    <row r="127" spans="1:26" ht="15" customHeight="1" x14ac:dyDescent="0.25">
      <c r="J127" s="5"/>
      <c r="K127" s="5"/>
      <c r="L127" s="5"/>
      <c r="M127" s="47" t="s">
        <v>69</v>
      </c>
      <c r="N127" s="11">
        <v>1</v>
      </c>
      <c r="O127" s="12"/>
      <c r="P127" s="6"/>
      <c r="Q127" s="7"/>
    </row>
    <row r="128" spans="1:26" ht="15" customHeight="1" x14ac:dyDescent="0.25">
      <c r="J128" s="5"/>
      <c r="K128" s="5"/>
      <c r="L128" s="5"/>
      <c r="M128" s="48" t="s">
        <v>70</v>
      </c>
      <c r="N128" s="8">
        <v>1.7</v>
      </c>
      <c r="O128" s="13"/>
      <c r="P128" s="6"/>
      <c r="Q128" s="7"/>
    </row>
    <row r="129" spans="10:17" ht="15" customHeight="1" x14ac:dyDescent="0.25">
      <c r="J129" s="5"/>
      <c r="K129" s="5"/>
      <c r="L129" s="5"/>
      <c r="M129" s="48" t="s">
        <v>71</v>
      </c>
      <c r="N129" s="8">
        <v>1.5</v>
      </c>
      <c r="O129" s="13"/>
      <c r="P129" s="6"/>
      <c r="Q129" s="7"/>
    </row>
    <row r="130" spans="10:17" ht="15.75" customHeight="1" thickBot="1" x14ac:dyDescent="0.3">
      <c r="J130" s="5"/>
      <c r="K130" s="5"/>
      <c r="L130" s="5"/>
      <c r="M130" s="49" t="s">
        <v>72</v>
      </c>
      <c r="N130" s="14">
        <v>1</v>
      </c>
      <c r="O130" s="15"/>
      <c r="P130" s="6"/>
      <c r="Q130" s="7"/>
    </row>
    <row r="131" spans="10:17" ht="15" customHeight="1" x14ac:dyDescent="0.25">
      <c r="J131" s="5"/>
      <c r="K131" s="5"/>
      <c r="L131" s="5"/>
      <c r="M131" s="47" t="s">
        <v>73</v>
      </c>
      <c r="N131" s="11">
        <v>1</v>
      </c>
      <c r="O131" s="12"/>
      <c r="P131" s="6"/>
      <c r="Q131" s="7"/>
    </row>
    <row r="132" spans="10:17" x14ac:dyDescent="0.25">
      <c r="J132" s="5"/>
      <c r="K132" s="5"/>
      <c r="L132" s="5"/>
      <c r="M132" s="48" t="s">
        <v>74</v>
      </c>
      <c r="N132" s="19">
        <f>N133*(N125/1000)^N134</f>
        <v>0.67891315733294821</v>
      </c>
      <c r="O132" s="13"/>
      <c r="P132" s="7"/>
      <c r="Q132" s="7"/>
    </row>
    <row r="133" spans="10:17" x14ac:dyDescent="0.25">
      <c r="J133" s="5"/>
      <c r="K133" s="5"/>
      <c r="L133" s="5"/>
      <c r="M133" s="48" t="s">
        <v>75</v>
      </c>
      <c r="N133" s="8">
        <v>2.7</v>
      </c>
      <c r="O133" s="13"/>
      <c r="P133" s="6"/>
      <c r="Q133" s="7"/>
    </row>
    <row r="134" spans="10:17" x14ac:dyDescent="0.25">
      <c r="J134" s="5"/>
      <c r="K134" s="5"/>
      <c r="L134" s="5"/>
      <c r="M134" s="48" t="s">
        <v>76</v>
      </c>
      <c r="N134" s="8">
        <v>-0.26500000000000001</v>
      </c>
      <c r="O134" s="13"/>
      <c r="P134" s="6"/>
      <c r="Q134" s="7"/>
    </row>
    <row r="135" spans="10:17" ht="15" customHeight="1" x14ac:dyDescent="0.25">
      <c r="J135" s="5"/>
      <c r="K135" s="5"/>
      <c r="L135" s="5"/>
      <c r="M135" s="48" t="s">
        <v>77</v>
      </c>
      <c r="N135" s="8">
        <v>1</v>
      </c>
      <c r="O135" s="13"/>
      <c r="P135" s="6"/>
      <c r="Q135" s="7"/>
    </row>
    <row r="136" spans="10:17" x14ac:dyDescent="0.25">
      <c r="J136" s="5"/>
      <c r="K136" s="5"/>
      <c r="L136" s="5"/>
      <c r="M136" s="48" t="s">
        <v>78</v>
      </c>
      <c r="N136" s="8">
        <v>1</v>
      </c>
      <c r="O136" s="13"/>
      <c r="P136" s="6"/>
      <c r="Q136" s="7"/>
    </row>
    <row r="137" spans="10:17" x14ac:dyDescent="0.25">
      <c r="J137" s="5"/>
      <c r="K137" s="5"/>
      <c r="L137" s="5"/>
      <c r="M137" s="48" t="s">
        <v>79</v>
      </c>
      <c r="N137" s="8">
        <v>1</v>
      </c>
      <c r="O137" s="13"/>
      <c r="P137" s="6"/>
      <c r="Q137" s="7"/>
    </row>
    <row r="138" spans="10:17" ht="15.75" thickBot="1" x14ac:dyDescent="0.3">
      <c r="J138" s="5"/>
      <c r="K138" s="5"/>
      <c r="L138" s="5"/>
      <c r="M138" s="49" t="s">
        <v>80</v>
      </c>
      <c r="N138" s="14">
        <v>1</v>
      </c>
      <c r="O138" s="15"/>
      <c r="P138" s="6"/>
      <c r="Q138" s="7"/>
    </row>
    <row r="139" spans="10:17" x14ac:dyDescent="0.25">
      <c r="J139" s="5"/>
      <c r="K139" s="5"/>
      <c r="L139" s="5"/>
      <c r="M139" s="47" t="s">
        <v>81</v>
      </c>
      <c r="N139" s="11">
        <f>0.5*N126</f>
        <v>59000</v>
      </c>
      <c r="O139" s="12" t="s">
        <v>67</v>
      </c>
      <c r="P139" s="6"/>
      <c r="Q139" s="7"/>
    </row>
    <row r="140" spans="10:17" x14ac:dyDescent="0.25">
      <c r="J140" s="5"/>
      <c r="K140" s="5"/>
      <c r="L140" s="5"/>
      <c r="M140" s="48" t="s">
        <v>82</v>
      </c>
      <c r="N140" s="21">
        <f>N127*N132*N135*N136*N137*N138*N139</f>
        <v>40055.876282643942</v>
      </c>
      <c r="O140" s="13" t="s">
        <v>67</v>
      </c>
      <c r="P140" s="6"/>
      <c r="Q140" s="7"/>
    </row>
    <row r="141" spans="10:17" x14ac:dyDescent="0.25">
      <c r="J141" s="5"/>
      <c r="K141" s="5"/>
      <c r="L141" s="5"/>
      <c r="M141" s="48" t="s">
        <v>83</v>
      </c>
      <c r="N141" s="8">
        <v>1.7</v>
      </c>
      <c r="O141" s="13"/>
      <c r="P141" s="6"/>
      <c r="Q141" s="7"/>
    </row>
    <row r="142" spans="10:17" x14ac:dyDescent="0.25">
      <c r="J142" s="5"/>
      <c r="K142" s="5"/>
      <c r="L142" s="5"/>
      <c r="M142" s="48" t="s">
        <v>84</v>
      </c>
      <c r="N142" s="8">
        <v>1.5</v>
      </c>
      <c r="O142" s="13"/>
      <c r="P142" s="6"/>
      <c r="Q142" s="7"/>
    </row>
    <row r="143" spans="10:17" ht="15" customHeight="1" x14ac:dyDescent="0.25">
      <c r="J143" s="5"/>
      <c r="K143" s="5"/>
      <c r="L143" s="5"/>
      <c r="M143" s="48" t="s">
        <v>85</v>
      </c>
      <c r="N143" s="8">
        <v>1.5</v>
      </c>
      <c r="O143" s="13"/>
      <c r="P143" s="6"/>
      <c r="Q143" s="7"/>
    </row>
    <row r="144" spans="10:17" x14ac:dyDescent="0.25">
      <c r="J144" s="5"/>
      <c r="K144" s="5"/>
      <c r="L144" s="5"/>
      <c r="M144" s="48" t="s">
        <v>86</v>
      </c>
      <c r="N144" s="18">
        <f>(16*N143)/PI()</f>
        <v>7.6394372684109761</v>
      </c>
      <c r="O144" s="13"/>
      <c r="P144" s="6"/>
      <c r="Q144" s="7"/>
    </row>
    <row r="145" spans="1:26" ht="15" customHeight="1" x14ac:dyDescent="0.25">
      <c r="J145" s="5"/>
      <c r="K145" s="5"/>
      <c r="L145" s="5"/>
      <c r="M145" s="48" t="s">
        <v>87</v>
      </c>
      <c r="N145" s="8">
        <f>1/N140 *((4*(N141*D83)^2 +(3*N142*C110)^2)^0.5)</f>
        <v>1.8873635285506708E-2</v>
      </c>
      <c r="O145" s="13"/>
      <c r="P145" s="6"/>
      <c r="Q145" s="7"/>
    </row>
    <row r="146" spans="1:26" ht="30" customHeight="1" x14ac:dyDescent="0.25">
      <c r="J146" s="5"/>
      <c r="K146" s="5"/>
      <c r="L146" s="5"/>
      <c r="M146" s="48" t="s">
        <v>88</v>
      </c>
      <c r="N146" s="8">
        <f>1/N126 *((4*(N141*D99)^2 +(3*N142*D101)^2)^0.5)</f>
        <v>0</v>
      </c>
      <c r="O146" s="13"/>
      <c r="P146" s="7"/>
      <c r="Q146" s="7"/>
    </row>
    <row r="147" spans="1:26" ht="15.75" customHeight="1" thickBot="1" x14ac:dyDescent="0.3">
      <c r="J147" s="5"/>
      <c r="K147" s="5"/>
      <c r="L147" s="5"/>
      <c r="M147" s="49" t="s">
        <v>89</v>
      </c>
      <c r="N147" s="20">
        <f>(N144*(N145+N146))^(1/3)</f>
        <v>0.52437137493210606</v>
      </c>
      <c r="O147" s="32" t="s">
        <v>9</v>
      </c>
      <c r="P147" s="6"/>
      <c r="Q147" s="7"/>
    </row>
    <row r="150" spans="1:26" ht="15" customHeight="1" x14ac:dyDescent="0.25">
      <c r="A150" s="54" t="s">
        <v>90</v>
      </c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ht="15" customHeight="1" x14ac:dyDescent="0.25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3" spans="1:26" ht="15.75" thickBot="1" x14ac:dyDescent="0.3"/>
    <row r="154" spans="1:26" ht="15.75" customHeight="1" thickBot="1" x14ac:dyDescent="0.3">
      <c r="I154" t="s">
        <v>91</v>
      </c>
      <c r="J154" s="5"/>
      <c r="K154" s="5"/>
      <c r="L154" s="5"/>
      <c r="M154" s="46" t="s">
        <v>63</v>
      </c>
      <c r="N154" s="9" t="s">
        <v>2</v>
      </c>
      <c r="O154" s="10" t="s">
        <v>3</v>
      </c>
      <c r="P154" s="6"/>
      <c r="Q154" s="7"/>
    </row>
    <row r="155" spans="1:26" ht="15" customHeight="1" x14ac:dyDescent="0.25">
      <c r="J155" s="5"/>
      <c r="K155" s="5"/>
      <c r="L155" s="5"/>
      <c r="M155" s="47" t="s">
        <v>64</v>
      </c>
      <c r="N155" s="16" t="s">
        <v>65</v>
      </c>
      <c r="O155" s="12"/>
      <c r="P155" s="7"/>
      <c r="Q155" s="7"/>
    </row>
    <row r="156" spans="1:26" ht="15" customHeight="1" x14ac:dyDescent="0.25">
      <c r="J156" s="5"/>
      <c r="K156" s="5"/>
      <c r="L156" s="5"/>
      <c r="M156" s="48" t="s">
        <v>66</v>
      </c>
      <c r="N156" s="8">
        <v>183000</v>
      </c>
      <c r="O156" s="13" t="s">
        <v>67</v>
      </c>
      <c r="P156" s="7"/>
      <c r="Q156" s="7"/>
    </row>
    <row r="157" spans="1:26" ht="15.75" customHeight="1" thickBot="1" x14ac:dyDescent="0.3">
      <c r="J157" s="5"/>
      <c r="K157" s="5"/>
      <c r="L157" s="5"/>
      <c r="M157" s="49" t="s">
        <v>68</v>
      </c>
      <c r="N157" s="14">
        <v>118000</v>
      </c>
      <c r="O157" s="15" t="s">
        <v>67</v>
      </c>
      <c r="P157" s="7"/>
      <c r="Q157" s="7"/>
    </row>
    <row r="158" spans="1:26" ht="15" customHeight="1" x14ac:dyDescent="0.25">
      <c r="J158" s="5"/>
      <c r="K158" s="5"/>
      <c r="L158" s="5"/>
      <c r="M158" s="47" t="s">
        <v>69</v>
      </c>
      <c r="N158" s="11">
        <v>1</v>
      </c>
      <c r="O158" s="12"/>
      <c r="P158" s="6"/>
      <c r="Q158" s="7"/>
    </row>
    <row r="159" spans="1:26" ht="15" customHeight="1" x14ac:dyDescent="0.25">
      <c r="J159" s="5"/>
      <c r="K159" s="5"/>
      <c r="L159" s="5"/>
      <c r="M159" s="48" t="s">
        <v>70</v>
      </c>
      <c r="N159" s="8">
        <v>2.14</v>
      </c>
      <c r="O159" s="13"/>
      <c r="P159" s="6"/>
      <c r="Q159" s="7"/>
    </row>
    <row r="160" spans="1:26" ht="15" customHeight="1" x14ac:dyDescent="0.25">
      <c r="J160" s="5"/>
      <c r="K160" s="5"/>
      <c r="L160" s="5"/>
      <c r="M160" s="48" t="s">
        <v>71</v>
      </c>
      <c r="N160" s="8">
        <v>3</v>
      </c>
      <c r="O160" s="13"/>
      <c r="P160" s="6"/>
      <c r="Q160" s="7"/>
    </row>
    <row r="161" spans="10:17" ht="15.75" customHeight="1" thickBot="1" x14ac:dyDescent="0.3">
      <c r="J161" s="5"/>
      <c r="K161" s="5"/>
      <c r="L161" s="5"/>
      <c r="M161" s="49" t="s">
        <v>72</v>
      </c>
      <c r="N161" s="14">
        <v>1</v>
      </c>
      <c r="O161" s="15"/>
      <c r="P161" s="6"/>
      <c r="Q161" s="7"/>
    </row>
    <row r="162" spans="10:17" ht="15" customHeight="1" x14ac:dyDescent="0.25">
      <c r="J162" s="5"/>
      <c r="K162" s="5"/>
      <c r="L162" s="5"/>
      <c r="M162" s="47" t="s">
        <v>73</v>
      </c>
      <c r="N162" s="11">
        <v>1</v>
      </c>
      <c r="O162" s="12"/>
      <c r="P162" s="6"/>
      <c r="Q162" s="7"/>
    </row>
    <row r="163" spans="10:17" x14ac:dyDescent="0.25">
      <c r="J163" s="5"/>
      <c r="K163" s="5"/>
      <c r="L163" s="5"/>
      <c r="M163" s="48" t="s">
        <v>74</v>
      </c>
      <c r="N163" s="19">
        <f>N164*(N156/1000)^N165</f>
        <v>0.67891315733294821</v>
      </c>
      <c r="O163" s="13"/>
      <c r="P163" s="7"/>
      <c r="Q163" s="7"/>
    </row>
    <row r="164" spans="10:17" x14ac:dyDescent="0.25">
      <c r="J164" s="5"/>
      <c r="K164" s="5"/>
      <c r="L164" s="5"/>
      <c r="M164" s="48" t="s">
        <v>75</v>
      </c>
      <c r="N164" s="8">
        <v>2.7</v>
      </c>
      <c r="O164" s="13"/>
      <c r="P164" s="6"/>
      <c r="Q164" s="7"/>
    </row>
    <row r="165" spans="10:17" x14ac:dyDescent="0.25">
      <c r="J165" s="5"/>
      <c r="K165" s="5"/>
      <c r="L165" s="5"/>
      <c r="M165" s="48" t="s">
        <v>76</v>
      </c>
      <c r="N165" s="8">
        <v>-0.26500000000000001</v>
      </c>
      <c r="O165" s="13"/>
      <c r="P165" s="6"/>
      <c r="Q165" s="7"/>
    </row>
    <row r="166" spans="10:17" ht="15" customHeight="1" x14ac:dyDescent="0.25">
      <c r="J166" s="5"/>
      <c r="K166" s="5"/>
      <c r="L166" s="5"/>
      <c r="M166" s="48" t="s">
        <v>77</v>
      </c>
      <c r="N166" s="8">
        <v>1</v>
      </c>
      <c r="O166" s="13"/>
      <c r="P166" s="6"/>
      <c r="Q166" s="7"/>
    </row>
    <row r="167" spans="10:17" x14ac:dyDescent="0.25">
      <c r="J167" s="5"/>
      <c r="K167" s="5"/>
      <c r="L167" s="5"/>
      <c r="M167" s="48" t="s">
        <v>78</v>
      </c>
      <c r="N167" s="8">
        <v>1</v>
      </c>
      <c r="O167" s="13"/>
      <c r="P167" s="6"/>
      <c r="Q167" s="7"/>
    </row>
    <row r="168" spans="10:17" x14ac:dyDescent="0.25">
      <c r="J168" s="5"/>
      <c r="K168" s="5"/>
      <c r="L168" s="5"/>
      <c r="M168" s="48" t="s">
        <v>79</v>
      </c>
      <c r="N168" s="8">
        <v>1</v>
      </c>
      <c r="O168" s="13"/>
      <c r="P168" s="6"/>
      <c r="Q168" s="7"/>
    </row>
    <row r="169" spans="10:17" ht="15.75" thickBot="1" x14ac:dyDescent="0.3">
      <c r="J169" s="5"/>
      <c r="K169" s="5"/>
      <c r="L169" s="5"/>
      <c r="M169" s="49" t="s">
        <v>80</v>
      </c>
      <c r="N169" s="14">
        <v>1</v>
      </c>
      <c r="O169" s="15"/>
      <c r="P169" s="6"/>
      <c r="Q169" s="7"/>
    </row>
    <row r="170" spans="10:17" x14ac:dyDescent="0.25">
      <c r="J170" s="5"/>
      <c r="K170" s="5"/>
      <c r="L170" s="5"/>
      <c r="M170" s="47" t="s">
        <v>81</v>
      </c>
      <c r="N170" s="22">
        <f>0.5*N157</f>
        <v>59000</v>
      </c>
      <c r="O170" s="12" t="s">
        <v>67</v>
      </c>
      <c r="P170" s="6"/>
      <c r="Q170" s="7"/>
    </row>
    <row r="171" spans="10:17" x14ac:dyDescent="0.25">
      <c r="J171" s="5"/>
      <c r="K171" s="5"/>
      <c r="L171" s="5"/>
      <c r="M171" s="48" t="s">
        <v>82</v>
      </c>
      <c r="N171" s="21">
        <f>N158*N163*N166*N167*N168*N169*N170</f>
        <v>40055.876282643942</v>
      </c>
      <c r="O171" s="13" t="s">
        <v>67</v>
      </c>
      <c r="P171" s="6"/>
      <c r="Q171" s="7"/>
    </row>
    <row r="172" spans="10:17" x14ac:dyDescent="0.25">
      <c r="J172" s="5"/>
      <c r="K172" s="5"/>
      <c r="L172" s="5"/>
      <c r="M172" s="48" t="s">
        <v>83</v>
      </c>
      <c r="N172" s="8">
        <v>2.14</v>
      </c>
      <c r="O172" s="13"/>
      <c r="P172" s="6"/>
      <c r="Q172" s="7"/>
    </row>
    <row r="173" spans="10:17" x14ac:dyDescent="0.25">
      <c r="J173" s="5"/>
      <c r="K173" s="5"/>
      <c r="L173" s="5"/>
      <c r="M173" s="48" t="s">
        <v>84</v>
      </c>
      <c r="N173" s="8">
        <v>3</v>
      </c>
      <c r="O173" s="13"/>
      <c r="P173" s="6"/>
      <c r="Q173" s="7"/>
    </row>
    <row r="174" spans="10:17" ht="15" customHeight="1" x14ac:dyDescent="0.25">
      <c r="J174" s="5"/>
      <c r="K174" s="5"/>
      <c r="L174" s="5"/>
      <c r="M174" s="48" t="s">
        <v>85</v>
      </c>
      <c r="N174" s="8">
        <v>1.5</v>
      </c>
      <c r="O174" s="13"/>
      <c r="P174" s="6"/>
      <c r="Q174" s="7"/>
    </row>
    <row r="175" spans="10:17" x14ac:dyDescent="0.25">
      <c r="J175" s="5"/>
      <c r="K175" s="5"/>
      <c r="L175" s="5"/>
      <c r="M175" s="48" t="s">
        <v>86</v>
      </c>
      <c r="N175" s="18">
        <f>(16*N143)/PI()</f>
        <v>7.6394372684109761</v>
      </c>
      <c r="O175" s="13"/>
      <c r="P175" s="6"/>
      <c r="Q175" s="7"/>
    </row>
    <row r="176" spans="10:17" ht="15" customHeight="1" x14ac:dyDescent="0.25">
      <c r="J176" s="5"/>
      <c r="K176" s="5"/>
      <c r="L176" s="5"/>
      <c r="M176" s="48" t="s">
        <v>87</v>
      </c>
      <c r="N176" s="8">
        <f>1/N171 *((4*(N172*D83)^2 +(3*N173*C110)^2)^0.5)</f>
        <v>3.7747270571013417E-2</v>
      </c>
      <c r="O176" s="13"/>
      <c r="P176" s="6"/>
      <c r="Q176" s="7"/>
    </row>
    <row r="177" spans="1:26" ht="15" customHeight="1" x14ac:dyDescent="0.25">
      <c r="J177" s="5"/>
      <c r="K177" s="5"/>
      <c r="L177" s="5"/>
      <c r="M177" s="48" t="s">
        <v>88</v>
      </c>
      <c r="N177" s="8">
        <f>1/N157 *((4*(N172*D130)^2 +(3*N173*D132)^2)^0.5)</f>
        <v>0</v>
      </c>
      <c r="O177" s="13"/>
      <c r="P177" s="7"/>
      <c r="Q177" s="7"/>
    </row>
    <row r="178" spans="1:26" ht="15.75" customHeight="1" thickBot="1" x14ac:dyDescent="0.3">
      <c r="J178" s="5"/>
      <c r="K178" s="5"/>
      <c r="L178" s="5"/>
      <c r="M178" s="49" t="s">
        <v>89</v>
      </c>
      <c r="N178" s="20">
        <f>(N175*(N176+N177))^(1/3)</f>
        <v>0.66066653323927715</v>
      </c>
      <c r="O178" s="32" t="s">
        <v>9</v>
      </c>
      <c r="P178" s="6"/>
      <c r="Q178" s="7"/>
    </row>
    <row r="181" spans="1:26" ht="15" customHeight="1" x14ac:dyDescent="0.25">
      <c r="A181" s="54" t="s">
        <v>92</v>
      </c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ht="15" customHeight="1" x14ac:dyDescent="0.25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4" spans="1:26" ht="15.75" thickBot="1" x14ac:dyDescent="0.3"/>
    <row r="185" spans="1:26" ht="15.75" customHeight="1" thickBot="1" x14ac:dyDescent="0.3">
      <c r="I185" t="s">
        <v>93</v>
      </c>
      <c r="J185" s="5"/>
      <c r="K185" s="5"/>
      <c r="L185" s="5"/>
      <c r="M185" s="46" t="s">
        <v>63</v>
      </c>
      <c r="N185" s="9" t="s">
        <v>2</v>
      </c>
      <c r="O185" s="10" t="s">
        <v>3</v>
      </c>
      <c r="P185" s="6"/>
      <c r="Q185" s="7"/>
    </row>
    <row r="186" spans="1:26" ht="15" customHeight="1" x14ac:dyDescent="0.25">
      <c r="J186" s="5"/>
      <c r="K186" s="5"/>
      <c r="L186" s="5"/>
      <c r="M186" s="47" t="s">
        <v>64</v>
      </c>
      <c r="N186" s="16" t="s">
        <v>65</v>
      </c>
      <c r="O186" s="12"/>
      <c r="P186" s="7"/>
      <c r="Q186" s="7"/>
    </row>
    <row r="187" spans="1:26" ht="15" customHeight="1" x14ac:dyDescent="0.25">
      <c r="J187" s="5"/>
      <c r="K187" s="5"/>
      <c r="L187" s="5"/>
      <c r="M187" s="48" t="s">
        <v>66</v>
      </c>
      <c r="N187" s="8">
        <v>183000</v>
      </c>
      <c r="O187" s="13" t="s">
        <v>67</v>
      </c>
      <c r="P187" s="7"/>
      <c r="Q187" s="7"/>
    </row>
    <row r="188" spans="1:26" ht="15.75" customHeight="1" thickBot="1" x14ac:dyDescent="0.3">
      <c r="J188" s="5"/>
      <c r="K188" s="5"/>
      <c r="L188" s="5"/>
      <c r="M188" s="49" t="s">
        <v>68</v>
      </c>
      <c r="N188" s="14">
        <v>118000</v>
      </c>
      <c r="O188" s="15" t="s">
        <v>67</v>
      </c>
      <c r="P188" s="7"/>
      <c r="Q188" s="7"/>
    </row>
    <row r="189" spans="1:26" ht="15" customHeight="1" x14ac:dyDescent="0.25">
      <c r="J189" s="5"/>
      <c r="K189" s="5"/>
      <c r="L189" s="5"/>
      <c r="M189" s="47" t="s">
        <v>69</v>
      </c>
      <c r="N189" s="11">
        <v>1</v>
      </c>
      <c r="O189" s="12"/>
      <c r="P189" s="6"/>
      <c r="Q189" s="7"/>
    </row>
    <row r="190" spans="1:26" ht="15" customHeight="1" x14ac:dyDescent="0.25">
      <c r="J190" s="5"/>
      <c r="K190" s="5"/>
      <c r="L190" s="5"/>
      <c r="M190" s="48" t="s">
        <v>70</v>
      </c>
      <c r="N190" s="8">
        <v>1.7</v>
      </c>
      <c r="O190" s="13"/>
      <c r="P190" s="6"/>
      <c r="Q190" s="7"/>
    </row>
    <row r="191" spans="1:26" ht="15" customHeight="1" x14ac:dyDescent="0.25">
      <c r="J191" s="5"/>
      <c r="K191" s="5"/>
      <c r="L191" s="5"/>
      <c r="M191" s="48" t="s">
        <v>71</v>
      </c>
      <c r="N191" s="8">
        <v>1.5</v>
      </c>
      <c r="O191" s="13"/>
      <c r="P191" s="6"/>
      <c r="Q191" s="7"/>
    </row>
    <row r="192" spans="1:26" ht="15.75" customHeight="1" thickBot="1" x14ac:dyDescent="0.3">
      <c r="J192" s="5"/>
      <c r="K192" s="5"/>
      <c r="L192" s="5"/>
      <c r="M192" s="49" t="s">
        <v>72</v>
      </c>
      <c r="N192" s="14">
        <v>1</v>
      </c>
      <c r="O192" s="15"/>
      <c r="P192" s="6"/>
      <c r="Q192" s="7"/>
    </row>
    <row r="193" spans="10:17" ht="15" customHeight="1" x14ac:dyDescent="0.25">
      <c r="J193" s="5"/>
      <c r="K193" s="5"/>
      <c r="L193" s="5"/>
      <c r="M193" s="47" t="s">
        <v>73</v>
      </c>
      <c r="N193" s="11">
        <v>1</v>
      </c>
      <c r="O193" s="12"/>
      <c r="P193" s="6"/>
      <c r="Q193" s="7"/>
    </row>
    <row r="194" spans="10:17" x14ac:dyDescent="0.25">
      <c r="J194" s="5"/>
      <c r="K194" s="5"/>
      <c r="L194" s="5"/>
      <c r="M194" s="48" t="s">
        <v>74</v>
      </c>
      <c r="N194" s="19">
        <f>N195*(N187/1000)^N196</f>
        <v>0.67891315733294821</v>
      </c>
      <c r="O194" s="13"/>
      <c r="P194" s="7"/>
      <c r="Q194" s="7"/>
    </row>
    <row r="195" spans="10:17" x14ac:dyDescent="0.25">
      <c r="J195" s="5"/>
      <c r="K195" s="5"/>
      <c r="L195" s="5"/>
      <c r="M195" s="48" t="s">
        <v>75</v>
      </c>
      <c r="N195" s="8">
        <v>2.7</v>
      </c>
      <c r="O195" s="13"/>
      <c r="P195" s="6"/>
      <c r="Q195" s="7"/>
    </row>
    <row r="196" spans="10:17" x14ac:dyDescent="0.25">
      <c r="J196" s="5"/>
      <c r="K196" s="5"/>
      <c r="L196" s="5"/>
      <c r="M196" s="48" t="s">
        <v>76</v>
      </c>
      <c r="N196" s="8">
        <v>-0.26500000000000001</v>
      </c>
      <c r="O196" s="13"/>
      <c r="P196" s="6"/>
      <c r="Q196" s="7"/>
    </row>
    <row r="197" spans="10:17" ht="15" customHeight="1" x14ac:dyDescent="0.25">
      <c r="J197" s="5"/>
      <c r="K197" s="5"/>
      <c r="L197" s="5"/>
      <c r="M197" s="48" t="s">
        <v>77</v>
      </c>
      <c r="N197" s="8">
        <v>1</v>
      </c>
      <c r="O197" s="13"/>
      <c r="P197" s="6"/>
      <c r="Q197" s="7"/>
    </row>
    <row r="198" spans="10:17" x14ac:dyDescent="0.25">
      <c r="J198" s="5"/>
      <c r="K198" s="5"/>
      <c r="L198" s="5"/>
      <c r="M198" s="48" t="s">
        <v>78</v>
      </c>
      <c r="N198" s="8">
        <v>1</v>
      </c>
      <c r="O198" s="13"/>
      <c r="P198" s="6"/>
      <c r="Q198" s="7"/>
    </row>
    <row r="199" spans="10:17" x14ac:dyDescent="0.25">
      <c r="J199" s="5"/>
      <c r="K199" s="5"/>
      <c r="L199" s="5"/>
      <c r="M199" s="48" t="s">
        <v>79</v>
      </c>
      <c r="N199" s="8">
        <v>1</v>
      </c>
      <c r="O199" s="13"/>
      <c r="P199" s="6"/>
      <c r="Q199" s="7"/>
    </row>
    <row r="200" spans="10:17" ht="15.75" thickBot="1" x14ac:dyDescent="0.3">
      <c r="J200" s="5"/>
      <c r="K200" s="5"/>
      <c r="L200" s="5"/>
      <c r="M200" s="49" t="s">
        <v>80</v>
      </c>
      <c r="N200" s="14">
        <v>1</v>
      </c>
      <c r="O200" s="15"/>
      <c r="P200" s="6"/>
      <c r="Q200" s="7"/>
    </row>
    <row r="201" spans="10:17" x14ac:dyDescent="0.25">
      <c r="J201" s="5"/>
      <c r="K201" s="5"/>
      <c r="L201" s="5"/>
      <c r="M201" s="47" t="s">
        <v>81</v>
      </c>
      <c r="N201" s="22">
        <f>0.5*N188</f>
        <v>59000</v>
      </c>
      <c r="O201" s="12" t="s">
        <v>67</v>
      </c>
      <c r="P201" s="6"/>
      <c r="Q201" s="7"/>
    </row>
    <row r="202" spans="10:17" x14ac:dyDescent="0.25">
      <c r="J202" s="5"/>
      <c r="K202" s="5"/>
      <c r="L202" s="5"/>
      <c r="M202" s="48" t="s">
        <v>82</v>
      </c>
      <c r="N202" s="23">
        <f>N189*N194*N197*N198*N199*N200*N201</f>
        <v>40055.876282643942</v>
      </c>
      <c r="O202" s="13" t="s">
        <v>67</v>
      </c>
      <c r="P202" s="6"/>
      <c r="Q202" s="7"/>
    </row>
    <row r="203" spans="10:17" x14ac:dyDescent="0.25">
      <c r="J203" s="5"/>
      <c r="K203" s="5"/>
      <c r="L203" s="5"/>
      <c r="M203" s="48" t="s">
        <v>83</v>
      </c>
      <c r="N203" s="8">
        <v>1.7</v>
      </c>
      <c r="O203" s="13"/>
      <c r="P203" s="6"/>
      <c r="Q203" s="7"/>
    </row>
    <row r="204" spans="10:17" x14ac:dyDescent="0.25">
      <c r="J204" s="5"/>
      <c r="K204" s="5"/>
      <c r="L204" s="5"/>
      <c r="M204" s="48" t="s">
        <v>84</v>
      </c>
      <c r="N204" s="8">
        <v>1.5</v>
      </c>
      <c r="O204" s="13"/>
      <c r="P204" s="6"/>
      <c r="Q204" s="7"/>
    </row>
    <row r="205" spans="10:17" ht="15" customHeight="1" x14ac:dyDescent="0.25">
      <c r="J205" s="5"/>
      <c r="K205" s="5"/>
      <c r="L205" s="5"/>
      <c r="M205" s="48" t="s">
        <v>85</v>
      </c>
      <c r="N205" s="8">
        <v>1.5</v>
      </c>
      <c r="O205" s="13"/>
      <c r="P205" s="6"/>
      <c r="Q205" s="7"/>
    </row>
    <row r="206" spans="10:17" x14ac:dyDescent="0.25">
      <c r="J206" s="5"/>
      <c r="K206" s="5"/>
      <c r="L206" s="5"/>
      <c r="M206" s="48" t="s">
        <v>86</v>
      </c>
      <c r="N206" s="18">
        <f>(16*N143)/PI()</f>
        <v>7.6394372684109761</v>
      </c>
      <c r="O206" s="13"/>
      <c r="P206" s="6"/>
      <c r="Q206" s="7"/>
    </row>
    <row r="207" spans="10:17" ht="15" customHeight="1" x14ac:dyDescent="0.25">
      <c r="J207" s="5"/>
      <c r="K207" s="5"/>
      <c r="L207" s="5"/>
      <c r="M207" s="48" t="s">
        <v>87</v>
      </c>
      <c r="N207" s="8">
        <f>1/N202 *((4*(N203*D83)^2 +(3*N204*C110)^2)^0.5)</f>
        <v>1.8873635285506708E-2</v>
      </c>
      <c r="O207" s="13"/>
      <c r="P207" s="6"/>
      <c r="Q207" s="7"/>
    </row>
    <row r="208" spans="10:17" ht="15" customHeight="1" x14ac:dyDescent="0.25">
      <c r="J208" s="5"/>
      <c r="K208" s="5"/>
      <c r="L208" s="5"/>
      <c r="M208" s="48" t="s">
        <v>88</v>
      </c>
      <c r="N208" s="8">
        <f>1/N188 *((4*(N203*D161)^2 +(3*N204*D163)^2)^0.5)</f>
        <v>0</v>
      </c>
      <c r="O208" s="13"/>
      <c r="P208" s="7"/>
      <c r="Q208" s="7"/>
    </row>
    <row r="209" spans="1:26" ht="15.75" customHeight="1" thickBot="1" x14ac:dyDescent="0.3">
      <c r="J209" s="5"/>
      <c r="K209" s="5"/>
      <c r="L209" s="5"/>
      <c r="M209" s="49" t="s">
        <v>94</v>
      </c>
      <c r="N209" s="20">
        <f>(N206*(N207+N208))^(1/3)</f>
        <v>0.52437137493210606</v>
      </c>
      <c r="O209" s="32" t="s">
        <v>9</v>
      </c>
      <c r="P209" s="6"/>
      <c r="Q209" s="7"/>
    </row>
    <row r="212" spans="1:26" ht="15" customHeight="1" x14ac:dyDescent="0.25">
      <c r="A212" s="54" t="s">
        <v>95</v>
      </c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ht="15" customHeight="1" x14ac:dyDescent="0.25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8" spans="1:26" ht="15.75" thickBot="1" x14ac:dyDescent="0.3"/>
    <row r="219" spans="1:26" ht="15.75" thickBot="1" x14ac:dyDescent="0.3">
      <c r="C219" s="24" t="s">
        <v>1</v>
      </c>
      <c r="D219" s="25" t="s">
        <v>2</v>
      </c>
      <c r="E219" s="26" t="s">
        <v>3</v>
      </c>
    </row>
    <row r="220" spans="1:26" x14ac:dyDescent="0.25">
      <c r="C220" s="27" t="s">
        <v>96</v>
      </c>
      <c r="D220" s="33">
        <f>N209</f>
        <v>0.52437137493210606</v>
      </c>
      <c r="E220" s="12" t="s">
        <v>9</v>
      </c>
    </row>
    <row r="221" spans="1:26" x14ac:dyDescent="0.25">
      <c r="C221" s="28" t="s">
        <v>97</v>
      </c>
      <c r="D221" s="17">
        <f>N178</f>
        <v>0.66066653323927715</v>
      </c>
      <c r="E221" s="13" t="s">
        <v>9</v>
      </c>
    </row>
    <row r="222" spans="1:26" x14ac:dyDescent="0.25">
      <c r="C222" s="28" t="s">
        <v>98</v>
      </c>
      <c r="D222" s="17">
        <f>1.2*D221</f>
        <v>0.79279983988713254</v>
      </c>
      <c r="E222" s="13" t="s">
        <v>9</v>
      </c>
    </row>
    <row r="223" spans="1:26" x14ac:dyDescent="0.25">
      <c r="C223" s="28" t="s">
        <v>99</v>
      </c>
      <c r="D223" s="17">
        <f>D220</f>
        <v>0.52437137493210606</v>
      </c>
      <c r="E223" s="13" t="s">
        <v>9</v>
      </c>
    </row>
    <row r="224" spans="1:26" x14ac:dyDescent="0.25">
      <c r="C224" s="29" t="s">
        <v>100</v>
      </c>
      <c r="D224" s="17"/>
      <c r="E224" s="13"/>
    </row>
    <row r="225" spans="1:26" x14ac:dyDescent="0.25">
      <c r="C225" s="28" t="s">
        <v>96</v>
      </c>
      <c r="D225" s="34">
        <v>0.55000000000000004</v>
      </c>
      <c r="E225" s="30" t="s">
        <v>9</v>
      </c>
    </row>
    <row r="226" spans="1:26" x14ac:dyDescent="0.25">
      <c r="C226" s="28" t="s">
        <v>97</v>
      </c>
      <c r="D226" s="34">
        <v>0.7</v>
      </c>
      <c r="E226" s="30" t="s">
        <v>9</v>
      </c>
    </row>
    <row r="227" spans="1:26" x14ac:dyDescent="0.25">
      <c r="C227" s="28" t="s">
        <v>101</v>
      </c>
      <c r="D227" s="34">
        <v>0.85</v>
      </c>
      <c r="E227" s="30" t="s">
        <v>9</v>
      </c>
    </row>
    <row r="228" spans="1:26" ht="15.75" thickBot="1" x14ac:dyDescent="0.3">
      <c r="C228" s="31" t="s">
        <v>102</v>
      </c>
      <c r="D228" s="35">
        <v>0.55000000000000004</v>
      </c>
      <c r="E228" s="32" t="s">
        <v>9</v>
      </c>
    </row>
    <row r="231" spans="1:26" ht="15" customHeight="1" x14ac:dyDescent="0.25">
      <c r="A231" s="54" t="s">
        <v>103</v>
      </c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ht="15" customHeight="1" x14ac:dyDescent="0.25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4" spans="1:26" ht="15.75" thickBot="1" x14ac:dyDescent="0.3"/>
    <row r="235" spans="1:26" ht="15.75" thickBot="1" x14ac:dyDescent="0.3">
      <c r="B235" s="45" t="s">
        <v>104</v>
      </c>
      <c r="C235" s="40" t="s">
        <v>2</v>
      </c>
      <c r="D235" s="41" t="s">
        <v>3</v>
      </c>
      <c r="G235" s="45" t="s">
        <v>104</v>
      </c>
      <c r="H235" s="40" t="s">
        <v>2</v>
      </c>
      <c r="I235" s="41" t="s">
        <v>3</v>
      </c>
      <c r="L235" s="50"/>
      <c r="M235" s="45" t="s">
        <v>105</v>
      </c>
      <c r="N235" s="40" t="s">
        <v>2</v>
      </c>
      <c r="O235" s="41" t="s">
        <v>3</v>
      </c>
    </row>
    <row r="236" spans="1:26" x14ac:dyDescent="0.25">
      <c r="B236" s="42" t="s">
        <v>106</v>
      </c>
      <c r="C236" s="38" t="s">
        <v>107</v>
      </c>
      <c r="D236" s="39"/>
      <c r="G236" s="42" t="s">
        <v>108</v>
      </c>
      <c r="H236" s="38" t="s">
        <v>109</v>
      </c>
      <c r="I236" s="39"/>
      <c r="L236" s="50"/>
      <c r="M236" s="42" t="s">
        <v>110</v>
      </c>
      <c r="N236" s="38" t="s">
        <v>107</v>
      </c>
      <c r="O236" s="39"/>
    </row>
    <row r="237" spans="1:26" x14ac:dyDescent="0.25">
      <c r="B237" s="43" t="s">
        <v>111</v>
      </c>
      <c r="C237" s="36">
        <f>D226*0.1</f>
        <v>6.9999999999999993E-2</v>
      </c>
      <c r="D237" s="37" t="s">
        <v>9</v>
      </c>
      <c r="G237" s="43" t="s">
        <v>111</v>
      </c>
      <c r="H237" s="36">
        <f>D226*0.2</f>
        <v>0.13999999999999999</v>
      </c>
      <c r="I237" s="37" t="s">
        <v>9</v>
      </c>
      <c r="L237" s="50"/>
      <c r="M237" s="43" t="s">
        <v>111</v>
      </c>
      <c r="N237" s="36">
        <f>D225*0.1</f>
        <v>5.5000000000000007E-2</v>
      </c>
      <c r="O237" s="37" t="s">
        <v>9</v>
      </c>
    </row>
    <row r="238" spans="1:26" x14ac:dyDescent="0.25">
      <c r="B238" s="43" t="s">
        <v>112</v>
      </c>
      <c r="C238" s="36">
        <f>D227/D226</f>
        <v>1.2142857142857144</v>
      </c>
      <c r="D238" s="37"/>
      <c r="G238" s="43" t="s">
        <v>112</v>
      </c>
      <c r="H238" s="36">
        <f>D227/D226</f>
        <v>1.2142857142857144</v>
      </c>
      <c r="I238" s="37"/>
      <c r="L238" s="50"/>
      <c r="M238" s="43" t="s">
        <v>113</v>
      </c>
      <c r="N238" s="36">
        <f>D226/D225</f>
        <v>1.2727272727272725</v>
      </c>
      <c r="O238" s="37"/>
    </row>
    <row r="239" spans="1:26" x14ac:dyDescent="0.25">
      <c r="B239" s="43" t="s">
        <v>114</v>
      </c>
      <c r="C239" s="36">
        <v>1.6</v>
      </c>
      <c r="D239" s="37"/>
      <c r="G239" s="43" t="s">
        <v>114</v>
      </c>
      <c r="H239" s="36">
        <v>2.14</v>
      </c>
      <c r="I239" s="37"/>
      <c r="L239" s="50"/>
      <c r="M239" s="43" t="s">
        <v>114</v>
      </c>
      <c r="N239" s="36">
        <v>1.65</v>
      </c>
      <c r="O239" s="37"/>
    </row>
    <row r="240" spans="1:26" x14ac:dyDescent="0.25">
      <c r="B240" s="43" t="s">
        <v>115</v>
      </c>
      <c r="C240" s="36">
        <v>1.35</v>
      </c>
      <c r="D240" s="37"/>
      <c r="G240" s="43" t="s">
        <v>115</v>
      </c>
      <c r="H240" s="36">
        <v>3</v>
      </c>
      <c r="I240" s="37"/>
      <c r="L240" s="50"/>
      <c r="M240" s="43" t="s">
        <v>115</v>
      </c>
      <c r="N240" s="36">
        <v>1.45</v>
      </c>
      <c r="O240" s="37"/>
    </row>
    <row r="241" spans="2:15" x14ac:dyDescent="0.25">
      <c r="B241" s="43" t="s">
        <v>116</v>
      </c>
      <c r="C241" s="36">
        <v>0.7</v>
      </c>
      <c r="D241" s="37"/>
      <c r="G241" s="43" t="s">
        <v>116</v>
      </c>
      <c r="H241" s="36">
        <v>0.59</v>
      </c>
      <c r="I241" s="37"/>
      <c r="L241" s="50"/>
      <c r="M241" s="43" t="s">
        <v>116</v>
      </c>
      <c r="N241" s="36">
        <v>0.67</v>
      </c>
      <c r="O241" s="37"/>
    </row>
    <row r="242" spans="2:15" x14ac:dyDescent="0.25">
      <c r="B242" s="43" t="s">
        <v>117</v>
      </c>
      <c r="C242" s="36">
        <v>0.77</v>
      </c>
      <c r="D242" s="37"/>
      <c r="G242" s="43" t="s">
        <v>117</v>
      </c>
      <c r="H242" s="36">
        <v>0.61</v>
      </c>
      <c r="I242" s="37"/>
      <c r="L242" s="50"/>
      <c r="M242" s="43" t="s">
        <v>117</v>
      </c>
      <c r="N242" s="36">
        <v>0.71</v>
      </c>
      <c r="O242" s="37"/>
    </row>
    <row r="243" spans="2:15" x14ac:dyDescent="0.25">
      <c r="B243" s="43" t="s">
        <v>83</v>
      </c>
      <c r="C243" s="36">
        <f>1+C241*(C239-1)</f>
        <v>1.42</v>
      </c>
      <c r="D243" s="37"/>
      <c r="G243" s="43" t="s">
        <v>83</v>
      </c>
      <c r="H243" s="36">
        <f>1+H241*(H239-1)</f>
        <v>1.6726000000000001</v>
      </c>
      <c r="I243" s="37"/>
      <c r="L243" s="50"/>
      <c r="M243" s="43" t="s">
        <v>83</v>
      </c>
      <c r="N243" s="36">
        <f>1+N241*(N239-1)</f>
        <v>1.4355</v>
      </c>
      <c r="O243" s="37"/>
    </row>
    <row r="244" spans="2:15" x14ac:dyDescent="0.25">
      <c r="B244" s="43" t="s">
        <v>84</v>
      </c>
      <c r="C244" s="36">
        <f>1+C242*(C240-1)</f>
        <v>1.2695000000000001</v>
      </c>
      <c r="D244" s="37"/>
      <c r="G244" s="43" t="s">
        <v>84</v>
      </c>
      <c r="H244" s="36">
        <f>1+H242*(H240-1)</f>
        <v>2.2199999999999998</v>
      </c>
      <c r="I244" s="37"/>
      <c r="L244" s="50"/>
      <c r="M244" s="43" t="s">
        <v>84</v>
      </c>
      <c r="N244" s="36">
        <f>1+N242*(N240-1)</f>
        <v>1.3194999999999999</v>
      </c>
      <c r="O244" s="37"/>
    </row>
    <row r="245" spans="2:15" x14ac:dyDescent="0.25">
      <c r="B245" s="43" t="s">
        <v>118</v>
      </c>
      <c r="C245" s="36">
        <f>N125</f>
        <v>183000</v>
      </c>
      <c r="D245" s="37" t="s">
        <v>67</v>
      </c>
      <c r="G245" s="43" t="s">
        <v>118</v>
      </c>
      <c r="H245" s="36">
        <f>N125</f>
        <v>183000</v>
      </c>
      <c r="I245" s="37" t="s">
        <v>67</v>
      </c>
      <c r="L245" s="50"/>
      <c r="M245" s="43" t="s">
        <v>118</v>
      </c>
      <c r="N245" s="36">
        <f>N187</f>
        <v>183000</v>
      </c>
      <c r="O245" s="37" t="s">
        <v>67</v>
      </c>
    </row>
    <row r="246" spans="2:15" x14ac:dyDescent="0.25">
      <c r="B246" s="43" t="s">
        <v>119</v>
      </c>
      <c r="C246" s="36">
        <f>N126</f>
        <v>118000</v>
      </c>
      <c r="D246" s="37" t="s">
        <v>67</v>
      </c>
      <c r="G246" s="43" t="s">
        <v>119</v>
      </c>
      <c r="H246" s="36">
        <f>N126</f>
        <v>118000</v>
      </c>
      <c r="I246" s="37" t="s">
        <v>67</v>
      </c>
      <c r="L246" s="50"/>
      <c r="M246" s="43" t="s">
        <v>119</v>
      </c>
      <c r="N246" s="36">
        <f>N188</f>
        <v>118000</v>
      </c>
      <c r="O246" s="37" t="s">
        <v>67</v>
      </c>
    </row>
    <row r="247" spans="2:15" x14ac:dyDescent="0.25">
      <c r="B247" s="43" t="s">
        <v>74</v>
      </c>
      <c r="C247" s="36">
        <f>C248*(C245/1000)^C249</f>
        <v>0.67891315733294821</v>
      </c>
      <c r="D247" s="37"/>
      <c r="G247" s="43" t="s">
        <v>74</v>
      </c>
      <c r="H247" s="36">
        <f>H248*(H245/1000)^H249</f>
        <v>0.67891315733294821</v>
      </c>
      <c r="I247" s="37"/>
      <c r="L247" s="50"/>
      <c r="M247" s="43" t="s">
        <v>74</v>
      </c>
      <c r="N247" s="36">
        <f>N248*(N245/1000)^N249</f>
        <v>0.67891315733294821</v>
      </c>
      <c r="O247" s="37"/>
    </row>
    <row r="248" spans="2:15" x14ac:dyDescent="0.25">
      <c r="B248" s="43" t="s">
        <v>120</v>
      </c>
      <c r="C248" s="36">
        <v>2.7</v>
      </c>
      <c r="D248" s="37"/>
      <c r="G248" s="43" t="s">
        <v>120</v>
      </c>
      <c r="H248" s="36">
        <v>2.7</v>
      </c>
      <c r="I248" s="37"/>
      <c r="L248" s="50"/>
      <c r="M248" s="43" t="s">
        <v>120</v>
      </c>
      <c r="N248" s="36">
        <v>2.7</v>
      </c>
      <c r="O248" s="37"/>
    </row>
    <row r="249" spans="2:15" x14ac:dyDescent="0.25">
      <c r="B249" s="43" t="s">
        <v>121</v>
      </c>
      <c r="C249" s="36">
        <v>-0.26500000000000001</v>
      </c>
      <c r="D249" s="37"/>
      <c r="G249" s="43" t="s">
        <v>121</v>
      </c>
      <c r="H249" s="36">
        <v>-0.26500000000000001</v>
      </c>
      <c r="I249" s="37"/>
      <c r="L249" s="50"/>
      <c r="M249" s="43" t="s">
        <v>121</v>
      </c>
      <c r="N249" s="36">
        <v>-0.26500000000000001</v>
      </c>
      <c r="O249" s="37"/>
    </row>
    <row r="250" spans="2:15" x14ac:dyDescent="0.25">
      <c r="B250" s="43" t="s">
        <v>122</v>
      </c>
      <c r="C250" s="36">
        <f>0.879*(D226^-1.07)</f>
        <v>1.287460674121331</v>
      </c>
      <c r="D250" s="37"/>
      <c r="G250" s="43" t="s">
        <v>122</v>
      </c>
      <c r="H250" s="36">
        <f>0.879*(D226^-1.07)</f>
        <v>1.287460674121331</v>
      </c>
      <c r="I250" s="37"/>
      <c r="L250" s="50"/>
      <c r="M250" s="43" t="s">
        <v>122</v>
      </c>
      <c r="N250" s="36">
        <f>0.879*(D225^-1.07)</f>
        <v>1.6664826530683208</v>
      </c>
      <c r="O250" s="37"/>
    </row>
    <row r="251" spans="2:15" x14ac:dyDescent="0.25">
      <c r="B251" s="43" t="s">
        <v>123</v>
      </c>
      <c r="C251" s="36">
        <v>1</v>
      </c>
      <c r="D251" s="37"/>
      <c r="G251" s="43" t="s">
        <v>123</v>
      </c>
      <c r="H251" s="36">
        <v>1</v>
      </c>
      <c r="I251" s="37"/>
      <c r="L251" s="50"/>
      <c r="M251" s="43" t="s">
        <v>123</v>
      </c>
      <c r="N251" s="36">
        <v>1</v>
      </c>
      <c r="O251" s="37"/>
    </row>
    <row r="252" spans="2:15" x14ac:dyDescent="0.25">
      <c r="B252" s="43" t="s">
        <v>78</v>
      </c>
      <c r="C252" s="36">
        <v>1</v>
      </c>
      <c r="D252" s="37"/>
      <c r="G252" s="43" t="s">
        <v>78</v>
      </c>
      <c r="H252" s="36">
        <v>1</v>
      </c>
      <c r="I252" s="37"/>
      <c r="L252" s="50"/>
      <c r="M252" s="43" t="s">
        <v>78</v>
      </c>
      <c r="N252" s="36">
        <v>1</v>
      </c>
      <c r="O252" s="37"/>
    </row>
    <row r="253" spans="2:15" x14ac:dyDescent="0.25">
      <c r="B253" s="43" t="s">
        <v>79</v>
      </c>
      <c r="C253" s="36">
        <v>1</v>
      </c>
      <c r="D253" s="37"/>
      <c r="G253" s="43" t="s">
        <v>79</v>
      </c>
      <c r="H253" s="36">
        <v>1</v>
      </c>
      <c r="I253" s="37"/>
      <c r="L253" s="50"/>
      <c r="M253" s="43" t="s">
        <v>79</v>
      </c>
      <c r="N253" s="36">
        <v>1</v>
      </c>
      <c r="O253" s="37"/>
    </row>
    <row r="254" spans="2:15" x14ac:dyDescent="0.25">
      <c r="B254" s="43" t="s">
        <v>80</v>
      </c>
      <c r="C254" s="36">
        <v>1</v>
      </c>
      <c r="D254" s="37"/>
      <c r="G254" s="43" t="s">
        <v>80</v>
      </c>
      <c r="H254" s="36">
        <v>1</v>
      </c>
      <c r="I254" s="37"/>
      <c r="L254" s="50"/>
      <c r="M254" s="43" t="s">
        <v>80</v>
      </c>
      <c r="N254" s="36">
        <v>1</v>
      </c>
      <c r="O254" s="37"/>
    </row>
    <row r="255" spans="2:15" ht="15" customHeight="1" x14ac:dyDescent="0.25">
      <c r="B255" s="43" t="s">
        <v>81</v>
      </c>
      <c r="C255" s="36">
        <f>0.5*(C246)</f>
        <v>59000</v>
      </c>
      <c r="D255" s="37" t="s">
        <v>67</v>
      </c>
      <c r="G255" s="43" t="s">
        <v>81</v>
      </c>
      <c r="H255" s="36">
        <f>0.5*(H246)</f>
        <v>59000</v>
      </c>
      <c r="I255" s="37" t="s">
        <v>67</v>
      </c>
      <c r="L255" s="50"/>
      <c r="M255" s="43" t="s">
        <v>81</v>
      </c>
      <c r="N255" s="36">
        <f>0.5*(N246)</f>
        <v>59000</v>
      </c>
      <c r="O255" s="37" t="s">
        <v>67</v>
      </c>
    </row>
    <row r="256" spans="2:15" x14ac:dyDescent="0.25">
      <c r="B256" s="43" t="s">
        <v>82</v>
      </c>
      <c r="C256" s="36">
        <f>C255*C247*C250*C251*C252*C253*C243</f>
        <v>73229.918983550233</v>
      </c>
      <c r="D256" s="37" t="s">
        <v>67</v>
      </c>
      <c r="G256" s="43" t="s">
        <v>82</v>
      </c>
      <c r="H256" s="36">
        <f>H255*H247*H250*H251*H252*H253*H243</f>
        <v>86256.593304145164</v>
      </c>
      <c r="I256" s="37" t="s">
        <v>67</v>
      </c>
      <c r="L256" s="50"/>
      <c r="M256" s="43" t="s">
        <v>82</v>
      </c>
      <c r="N256" s="36">
        <f>N255*N247*N250*N251*N252*N253*N243</f>
        <v>95823.103185603584</v>
      </c>
      <c r="O256" s="37" t="s">
        <v>67</v>
      </c>
    </row>
    <row r="257" spans="2:15" ht="15" customHeight="1" x14ac:dyDescent="0.25">
      <c r="B257" s="43" t="s">
        <v>124</v>
      </c>
      <c r="C257" s="36">
        <f>16/(PI()*(D226^3))</f>
        <v>14.848274574170997</v>
      </c>
      <c r="D257" s="37"/>
      <c r="G257" s="43" t="s">
        <v>124</v>
      </c>
      <c r="H257" s="36">
        <f>16/(PI()*(D226^3))</f>
        <v>14.848274574170997</v>
      </c>
      <c r="I257" s="37"/>
      <c r="L257" s="50"/>
      <c r="M257" s="43" t="s">
        <v>124</v>
      </c>
      <c r="N257" s="36">
        <f>16/(PI()*(D225^3))</f>
        <v>30.611318881686849</v>
      </c>
      <c r="O257" s="37"/>
    </row>
    <row r="258" spans="2:15" ht="15" customHeight="1" x14ac:dyDescent="0.25">
      <c r="B258" s="43" t="s">
        <v>87</v>
      </c>
      <c r="C258" s="36">
        <f>1/C256*((4*(C243*D99)^2 +(3*C244*C110)^2)^0.5)</f>
        <v>8.7372485028110684E-3</v>
      </c>
      <c r="D258" s="37"/>
      <c r="G258" s="43" t="s">
        <v>87</v>
      </c>
      <c r="H258" s="36">
        <f>1/H256*((4*(H243*D99)^2 +(3*H244*C110)^2)^0.5)</f>
        <v>1.2971530142104868E-2</v>
      </c>
      <c r="I258" s="37"/>
      <c r="L258" s="50"/>
      <c r="M258" s="43" t="s">
        <v>87</v>
      </c>
      <c r="N258" s="36">
        <f>1/N256*((4*(N243*D99)^2 +(3*N244*C110)^2)^0.5)</f>
        <v>6.9401634667568711E-3</v>
      </c>
      <c r="O258" s="37"/>
    </row>
    <row r="259" spans="2:15" x14ac:dyDescent="0.25">
      <c r="B259" s="43" t="s">
        <v>88</v>
      </c>
      <c r="C259" s="36">
        <f>1/C245*((4*(C243*D99)^2 +(3*C244*D101)^2)^0.5)</f>
        <v>0</v>
      </c>
      <c r="D259" s="37"/>
      <c r="G259" s="43" t="s">
        <v>88</v>
      </c>
      <c r="H259" s="36">
        <f>1/H245*((4*(H243*D99)^2 +(3*H244*D101)^2)^0.5)</f>
        <v>0</v>
      </c>
      <c r="I259" s="37"/>
      <c r="L259" s="50"/>
      <c r="M259" s="43" t="s">
        <v>88</v>
      </c>
      <c r="N259" s="36">
        <f>1/N245*((4*(N243*D99)^2 +(3*N244*D101)^2)^0.5)</f>
        <v>0</v>
      </c>
      <c r="O259" s="37"/>
    </row>
    <row r="260" spans="2:15" ht="15.75" thickBot="1" x14ac:dyDescent="0.3">
      <c r="B260" s="44" t="s">
        <v>125</v>
      </c>
      <c r="C260" s="52">
        <f>1/(C257*(C258+C259))</f>
        <v>7.708135174324398</v>
      </c>
      <c r="D260" s="53"/>
      <c r="G260" s="44" t="s">
        <v>125</v>
      </c>
      <c r="H260" s="52">
        <f>1/(H257*(H258+H259))</f>
        <v>5.1919774902055424</v>
      </c>
      <c r="I260" s="53"/>
      <c r="L260" s="50"/>
      <c r="M260" s="44" t="s">
        <v>125</v>
      </c>
      <c r="N260" s="52">
        <f>1/(N257*(N258+N259))</f>
        <v>4.7070440077225122</v>
      </c>
      <c r="O260" s="53"/>
    </row>
    <row r="262" spans="2:15" ht="15.75" thickBot="1" x14ac:dyDescent="0.3"/>
    <row r="263" spans="2:15" ht="15.75" thickBot="1" x14ac:dyDescent="0.3">
      <c r="B263" s="45" t="s">
        <v>126</v>
      </c>
      <c r="C263" s="40" t="s">
        <v>2</v>
      </c>
      <c r="D263" s="41" t="s">
        <v>3</v>
      </c>
      <c r="G263" s="45" t="s">
        <v>127</v>
      </c>
      <c r="H263" s="40" t="s">
        <v>2</v>
      </c>
      <c r="I263" s="41" t="s">
        <v>3</v>
      </c>
      <c r="M263" s="45" t="s">
        <v>128</v>
      </c>
      <c r="N263" s="40" t="s">
        <v>2</v>
      </c>
      <c r="O263" s="41" t="s">
        <v>3</v>
      </c>
    </row>
    <row r="264" spans="2:15" x14ac:dyDescent="0.25">
      <c r="B264" s="42" t="s">
        <v>129</v>
      </c>
      <c r="C264" s="38"/>
      <c r="D264" s="39"/>
      <c r="G264" s="42" t="s">
        <v>129</v>
      </c>
      <c r="H264" s="38"/>
      <c r="I264" s="39"/>
      <c r="M264" s="42" t="s">
        <v>129</v>
      </c>
      <c r="N264" s="38"/>
      <c r="O264" s="39"/>
    </row>
    <row r="265" spans="2:15" x14ac:dyDescent="0.25">
      <c r="B265" s="43" t="s">
        <v>130</v>
      </c>
      <c r="C265" s="36">
        <f>SQRT((C272^2)-(C272*C273)+C273^2)</f>
        <v>6582.8035253755925</v>
      </c>
      <c r="D265" s="37" t="s">
        <v>67</v>
      </c>
      <c r="G265" s="43" t="s">
        <v>130</v>
      </c>
      <c r="H265" s="36">
        <f>SQRT((H272^2)-(H272*H273)+H273^2)</f>
        <v>6582.8035253755925</v>
      </c>
      <c r="I265" s="37" t="s">
        <v>67</v>
      </c>
      <c r="M265" s="43" t="s">
        <v>130</v>
      </c>
      <c r="N265" s="36">
        <f>SQRT((N272^2)-(N272*N273)+N273^2)</f>
        <v>13571.159183794605</v>
      </c>
      <c r="O265" s="37" t="s">
        <v>67</v>
      </c>
    </row>
    <row r="266" spans="2:15" x14ac:dyDescent="0.25">
      <c r="B266" s="43" t="s">
        <v>131</v>
      </c>
      <c r="C266" s="36">
        <f>C246</f>
        <v>118000</v>
      </c>
      <c r="D266" s="37" t="s">
        <v>67</v>
      </c>
      <c r="G266" s="43" t="s">
        <v>131</v>
      </c>
      <c r="H266" s="36">
        <f>H246</f>
        <v>118000</v>
      </c>
      <c r="I266" s="37" t="s">
        <v>67</v>
      </c>
      <c r="M266" s="43" t="s">
        <v>131</v>
      </c>
      <c r="N266" s="36">
        <f>N246</f>
        <v>118000</v>
      </c>
      <c r="O266" s="37" t="s">
        <v>67</v>
      </c>
    </row>
    <row r="267" spans="2:15" ht="15.75" thickBot="1" x14ac:dyDescent="0.3">
      <c r="B267" s="44" t="s">
        <v>103</v>
      </c>
      <c r="C267" s="52">
        <f>C266/C265</f>
        <v>17.925493225664415</v>
      </c>
      <c r="D267" s="53"/>
      <c r="G267" s="44" t="s">
        <v>103</v>
      </c>
      <c r="H267" s="52">
        <f>H266/H265</f>
        <v>17.925493225664415</v>
      </c>
      <c r="I267" s="53"/>
      <c r="M267" s="44" t="s">
        <v>103</v>
      </c>
      <c r="N267" s="52">
        <f>N266/N265</f>
        <v>8.69490943271113</v>
      </c>
      <c r="O267" s="53"/>
    </row>
    <row r="271" spans="2:15" x14ac:dyDescent="0.25">
      <c r="B271" s="36" t="s">
        <v>132</v>
      </c>
      <c r="C271" s="36">
        <f>(PI()*(D226)^3)/32</f>
        <v>3.3673946255665589E-2</v>
      </c>
      <c r="D271" s="36" t="s">
        <v>9</v>
      </c>
      <c r="G271" s="36" t="s">
        <v>132</v>
      </c>
      <c r="H271" s="36">
        <f>(PI()*(D226)^3)/32</f>
        <v>3.3673946255665589E-2</v>
      </c>
      <c r="I271" s="36" t="s">
        <v>9</v>
      </c>
      <c r="M271" s="36" t="s">
        <v>132</v>
      </c>
      <c r="N271" s="36">
        <f>(PI()*(D225)^3)/32</f>
        <v>1.6333827429406311E-2</v>
      </c>
      <c r="O271" s="36" t="s">
        <v>9</v>
      </c>
    </row>
    <row r="272" spans="2:15" x14ac:dyDescent="0.25">
      <c r="B272" s="36" t="s">
        <v>133</v>
      </c>
      <c r="C272" s="36">
        <f>D53/C271</f>
        <v>2733.0922043185074</v>
      </c>
      <c r="D272" s="36" t="s">
        <v>67</v>
      </c>
      <c r="G272" s="36" t="s">
        <v>133</v>
      </c>
      <c r="H272" s="36">
        <f>D53/H271</f>
        <v>2733.0922043185074</v>
      </c>
      <c r="I272" s="36" t="s">
        <v>67</v>
      </c>
      <c r="M272" s="36" t="s">
        <v>133</v>
      </c>
      <c r="N272" s="36">
        <f>D53/N271</f>
        <v>5634.5642439143357</v>
      </c>
      <c r="O272" s="36" t="s">
        <v>67</v>
      </c>
    </row>
    <row r="273" spans="2:15" x14ac:dyDescent="0.25">
      <c r="B273" s="36" t="s">
        <v>134</v>
      </c>
      <c r="C273" s="51">
        <f>D84/C271</f>
        <v>7509.0991141989043</v>
      </c>
      <c r="D273" s="36" t="s">
        <v>67</v>
      </c>
      <c r="G273" s="36" t="s">
        <v>134</v>
      </c>
      <c r="H273" s="51">
        <f>D84/H271</f>
        <v>7509.0991141989043</v>
      </c>
      <c r="I273" s="36" t="s">
        <v>67</v>
      </c>
      <c r="M273" s="36" t="s">
        <v>134</v>
      </c>
      <c r="N273" s="51">
        <f>D84/N271</f>
        <v>15480.817407484437</v>
      </c>
      <c r="O273" s="36" t="s">
        <v>67</v>
      </c>
    </row>
  </sheetData>
  <mergeCells count="10">
    <mergeCell ref="A231:Z232"/>
    <mergeCell ref="A119:Z120"/>
    <mergeCell ref="A34:Z35"/>
    <mergeCell ref="A65:Z66"/>
    <mergeCell ref="A94:Z95"/>
    <mergeCell ref="A16:Z17"/>
    <mergeCell ref="A105:Z106"/>
    <mergeCell ref="A150:Z151"/>
    <mergeCell ref="A212:Z213"/>
    <mergeCell ref="A181:Z182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F0B92D886A04DAC72E375FCC88FB4" ma:contentTypeVersion="13" ma:contentTypeDescription="Create a new document." ma:contentTypeScope="" ma:versionID="847e77bbdbc30c6f7b31b588a2832352">
  <xsd:schema xmlns:xsd="http://www.w3.org/2001/XMLSchema" xmlns:xs="http://www.w3.org/2001/XMLSchema" xmlns:p="http://schemas.microsoft.com/office/2006/metadata/properties" xmlns:ns3="005f0376-c3c2-4c95-840a-ed3a7d02c7f7" xmlns:ns4="576c7d36-2d9c-4db8-bf71-e1840c009d33" targetNamespace="http://schemas.microsoft.com/office/2006/metadata/properties" ma:root="true" ma:fieldsID="71d524622703a71c14ff4070c4726803" ns3:_="" ns4:_="">
    <xsd:import namespace="005f0376-c3c2-4c95-840a-ed3a7d02c7f7"/>
    <xsd:import namespace="576c7d36-2d9c-4db8-bf71-e1840c009d3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SystemTags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f0376-c3c2-4c95-840a-ed3a7d02c7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c7d36-2d9c-4db8-bf71-e1840c009d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76c7d36-2d9c-4db8-bf71-e1840c009d3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EAD92C-8251-4658-B4C3-AFE3C3C7D9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5f0376-c3c2-4c95-840a-ed3a7d02c7f7"/>
    <ds:schemaRef ds:uri="576c7d36-2d9c-4db8-bf71-e1840c009d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049FEB-A87C-4536-A42A-84C3A0167664}">
  <ds:schemaRefs>
    <ds:schemaRef ds:uri="http://schemas.microsoft.com/office/2006/documentManagement/types"/>
    <ds:schemaRef ds:uri="http://purl.org/dc/elements/1.1/"/>
    <ds:schemaRef ds:uri="576c7d36-2d9c-4db8-bf71-e1840c009d33"/>
    <ds:schemaRef ds:uri="http://schemas.openxmlformats.org/package/2006/metadata/core-properties"/>
    <ds:schemaRef ds:uri="http://purl.org/dc/terms/"/>
    <ds:schemaRef ds:uri="http://schemas.microsoft.com/office/2006/metadata/properties"/>
    <ds:schemaRef ds:uri="005f0376-c3c2-4c95-840a-ed3a7d02c7f7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CDE887D-7580-4ADE-B476-35921B4B28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Utkrisht K. Batra</dc:creator>
  <cp:keywords/>
  <dc:description/>
  <cp:lastModifiedBy>Utkrisht K. Batra</cp:lastModifiedBy>
  <cp:revision/>
  <cp:lastPrinted>2026-03-04T01:54:02Z</cp:lastPrinted>
  <dcterms:created xsi:type="dcterms:W3CDTF">2024-11-23T23:24:37Z</dcterms:created>
  <dcterms:modified xsi:type="dcterms:W3CDTF">2026-03-04T01:54:29Z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0x010100260F0B92D886A04DAC72E375FCC88FB4</vt:lpwstr>
  </property>
</Properties>
</file>