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Heatsink Project Heat Transfer\"/>
    </mc:Choice>
  </mc:AlternateContent>
  <xr:revisionPtr revIDLastSave="0" documentId="8_{3A8E7ABD-66C5-453C-B740-234B6A9023FE}" xr6:coauthVersionLast="47" xr6:coauthVersionMax="47" xr10:uidLastSave="{00000000-0000-0000-0000-000000000000}"/>
  <bookViews>
    <workbookView xWindow="-25500" yWindow="-21720" windowWidth="51840" windowHeight="21240" activeTab="4" xr2:uid="{CBBC6E78-174D-466E-8631-15E7519B39EF}"/>
  </bookViews>
  <sheets>
    <sheet name="Fin Calculations" sheetId="1" r:id="rId1"/>
    <sheet name="Temprature Dist. Table" sheetId="2" r:id="rId2"/>
    <sheet name="Heat Sink Performane" sheetId="3" r:id="rId3"/>
    <sheet name="Comparison Table" sheetId="4" r:id="rId4"/>
    <sheet name="Study Data and Charts 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3" l="1"/>
  <c r="M11" i="6"/>
  <c r="B13" i="6"/>
  <c r="M8" i="6"/>
  <c r="B8" i="6"/>
  <c r="M4" i="6" s="1"/>
  <c r="M10" i="6" s="1"/>
  <c r="M13" i="6" s="1"/>
  <c r="M14" i="6" s="1"/>
  <c r="M7" i="6"/>
  <c r="M9" i="6" s="1"/>
  <c r="M12" i="6" s="1"/>
  <c r="M15" i="6" s="1"/>
  <c r="M16" i="6" s="1"/>
  <c r="M6" i="6"/>
  <c r="M5" i="6"/>
  <c r="M14" i="1"/>
  <c r="L3" i="4"/>
  <c r="L4" i="4"/>
  <c r="L5" i="4"/>
  <c r="L6" i="4"/>
  <c r="L7" i="4"/>
  <c r="L8" i="4"/>
  <c r="L9" i="4"/>
  <c r="L10" i="4"/>
  <c r="L11" i="4"/>
  <c r="L2" i="4"/>
  <c r="M6" i="1"/>
  <c r="D3" i="4"/>
  <c r="D4" i="4"/>
  <c r="D5" i="4"/>
  <c r="D6" i="4"/>
  <c r="D2" i="4"/>
  <c r="B15" i="3"/>
  <c r="I4" i="3" s="1"/>
  <c r="I5" i="3" s="1"/>
  <c r="I3" i="3"/>
  <c r="M7" i="1"/>
  <c r="M5" i="1"/>
  <c r="M10" i="1" s="1"/>
  <c r="M4" i="1"/>
  <c r="A4" i="2"/>
  <c r="A3" i="2"/>
  <c r="B11" i="2"/>
  <c r="B3" i="2"/>
  <c r="B4" i="2"/>
  <c r="B5" i="2"/>
  <c r="B6" i="2"/>
  <c r="B7" i="2"/>
  <c r="B8" i="2"/>
  <c r="B9" i="2"/>
  <c r="B10" i="2"/>
  <c r="B2" i="2"/>
  <c r="A5" i="2"/>
  <c r="A6" i="2"/>
  <c r="A7" i="2" s="1"/>
  <c r="A8" i="2" s="1"/>
  <c r="A9" i="2" s="1"/>
  <c r="A10" i="2" s="1"/>
  <c r="A11" i="2" s="1"/>
  <c r="B13" i="1"/>
  <c r="B8" i="1"/>
  <c r="I8" i="3" l="1"/>
  <c r="I7" i="3"/>
  <c r="M8" i="1"/>
  <c r="M9" i="1" s="1"/>
  <c r="M11" i="1" s="1"/>
  <c r="M12" i="1" s="1"/>
  <c r="M15" i="1" s="1"/>
  <c r="M16" i="1" s="1"/>
  <c r="M13" i="1"/>
</calcChain>
</file>

<file path=xl/sharedStrings.xml><?xml version="1.0" encoding="utf-8"?>
<sst xmlns="http://schemas.openxmlformats.org/spreadsheetml/2006/main" count="171" uniqueCount="86">
  <si>
    <t>Calculated Quantity </t>
  </si>
  <si>
    <t>Value</t>
  </si>
  <si>
    <t>Heat Sink </t>
  </si>
  <si>
    <t>Dimensions (mm) </t>
  </si>
  <si>
    <t>R (°C/W) </t>
  </si>
  <si>
    <t>HS 5030 </t>
  </si>
  <si>
    <t>76 × 105 × 44 </t>
  </si>
  <si>
    <t>0.9 (vert) / 1.2 (horiz) </t>
  </si>
  <si>
    <t>Estimated from catolog image of HS 5030:</t>
  </si>
  <si>
    <t>Base thickness (mm)</t>
  </si>
  <si>
    <t>number of fins</t>
  </si>
  <si>
    <t>overall width across fins (mm)</t>
  </si>
  <si>
    <t>estimated spacing (mm)</t>
  </si>
  <si>
    <t>Property </t>
  </si>
  <si>
    <t>Fin material </t>
  </si>
  <si>
    <t>Aluminum 6063-T5</t>
  </si>
  <si>
    <t>Emissivity (black anodized) </t>
  </si>
  <si>
    <t>Material Properties</t>
  </si>
  <si>
    <t>Operating conditions</t>
  </si>
  <si>
    <t>Parameter </t>
  </si>
  <si>
    <t>Power dissipation W</t>
  </si>
  <si>
    <t>T(x) (°C)</t>
  </si>
  <si>
    <t>x (m)</t>
  </si>
  <si>
    <t>Tb (°C)</t>
  </si>
  <si>
    <t>T∞ (°C)</t>
  </si>
  <si>
    <t>T(0)=80°C=Tb​</t>
  </si>
  <si>
    <t>T(Lc)=T(0.041)=77.27°C</t>
  </si>
  <si>
    <t>Since 77.27°C&gt;25°C the fin tip approaches the ambient temp but doesn’t reach it</t>
  </si>
  <si>
    <r>
      <t>Surface Area (cm</t>
    </r>
    <r>
      <rPr>
        <vertAlign val="superscript"/>
        <sz val="11"/>
        <color rgb="FF000000"/>
        <rFont val="Aptos Narrow"/>
        <family val="2"/>
        <scheme val="minor"/>
      </rPr>
      <t>2</t>
    </r>
    <r>
      <rPr>
        <b/>
        <sz val="11"/>
        <color rgb="FF000000"/>
        <rFont val="Aptos Narrow"/>
        <family val="2"/>
        <scheme val="minor"/>
      </rPr>
      <t>)</t>
    </r>
  </si>
  <si>
    <r>
      <t xml:space="preserve">Fin length </t>
    </r>
    <r>
      <rPr>
        <i/>
        <sz val="11"/>
        <color rgb="FF000000"/>
        <rFont val="Aptos Narrow"/>
        <family val="2"/>
        <scheme val="minor"/>
      </rPr>
      <t xml:space="preserve">L </t>
    </r>
    <r>
      <rPr>
        <sz val="11"/>
        <color rgb="FF000000"/>
        <rFont val="Aptos Narrow"/>
        <family val="2"/>
        <scheme val="minor"/>
      </rPr>
      <t>(m)</t>
    </r>
  </si>
  <si>
    <r>
      <t xml:space="preserve">Fin thickness </t>
    </r>
    <r>
      <rPr>
        <i/>
        <sz val="11"/>
        <color rgb="FF000000"/>
        <rFont val="Aptos Narrow"/>
        <family val="2"/>
        <scheme val="minor"/>
      </rPr>
      <t xml:space="preserve">t </t>
    </r>
    <r>
      <rPr>
        <sz val="11"/>
        <color rgb="FF000000"/>
        <rFont val="Aptos Narrow"/>
        <family val="2"/>
        <scheme val="minor"/>
      </rPr>
      <t>(m)</t>
    </r>
  </si>
  <si>
    <r>
      <t xml:space="preserve">Fin width </t>
    </r>
    <r>
      <rPr>
        <i/>
        <sz val="11"/>
        <color rgb="FF000000"/>
        <rFont val="Aptos Narrow"/>
        <family val="2"/>
        <scheme val="minor"/>
      </rPr>
      <t xml:space="preserve">w </t>
    </r>
    <r>
      <rPr>
        <sz val="11"/>
        <color rgb="FF000000"/>
        <rFont val="Aptos Narrow"/>
        <family val="2"/>
        <scheme val="minor"/>
      </rPr>
      <t>(m)</t>
    </r>
  </si>
  <si>
    <r>
      <t xml:space="preserve">Perimeter </t>
    </r>
    <r>
      <rPr>
        <i/>
        <sz val="11"/>
        <color rgb="FF000000"/>
        <rFont val="Aptos Narrow"/>
        <family val="2"/>
        <scheme val="minor"/>
      </rPr>
      <t xml:space="preserve">p </t>
    </r>
    <r>
      <rPr>
        <sz val="11"/>
        <color rgb="FF000000"/>
        <rFont val="Aptos Narrow"/>
        <family val="2"/>
        <scheme val="minor"/>
      </rPr>
      <t>(m)</t>
    </r>
  </si>
  <si>
    <r>
      <t xml:space="preserve">Fin length </t>
    </r>
    <r>
      <rPr>
        <i/>
        <sz val="11"/>
        <color rgb="FF000000"/>
        <rFont val="Aptos Narrow"/>
        <family val="2"/>
        <scheme val="minor"/>
      </rPr>
      <t xml:space="preserve">L </t>
    </r>
    <r>
      <rPr>
        <sz val="11"/>
        <color rgb="FF000000"/>
        <rFont val="Aptos Narrow"/>
        <family val="2"/>
        <scheme val="minor"/>
      </rPr>
      <t>(mm)</t>
    </r>
  </si>
  <si>
    <r>
      <t xml:space="preserve">Cross-sectional area </t>
    </r>
    <r>
      <rPr>
        <i/>
        <sz val="11"/>
        <color rgb="FF000000"/>
        <rFont val="Aptos Narrow"/>
        <family val="2"/>
        <scheme val="minor"/>
      </rPr>
      <t>A</t>
    </r>
    <r>
      <rPr>
        <sz val="11"/>
        <color rgb="FF000000"/>
        <rFont val="Aptos Narrow"/>
        <family val="2"/>
        <scheme val="minor"/>
      </rPr>
      <t>c (m</t>
    </r>
    <r>
      <rPr>
        <vertAlign val="superscript"/>
        <sz val="11"/>
        <color rgb="FF000000"/>
        <rFont val="Aptos Narrow"/>
        <family val="2"/>
        <scheme val="minor"/>
      </rPr>
      <t>2</t>
    </r>
    <r>
      <rPr>
        <sz val="11"/>
        <color rgb="FF000000"/>
        <rFont val="Aptos Narrow"/>
        <family val="2"/>
        <scheme val="minor"/>
      </rPr>
      <t>)</t>
    </r>
  </si>
  <si>
    <r>
      <t xml:space="preserve">Fin thickness </t>
    </r>
    <r>
      <rPr>
        <i/>
        <sz val="11"/>
        <color rgb="FF000000"/>
        <rFont val="Aptos Narrow"/>
        <family val="2"/>
        <scheme val="minor"/>
      </rPr>
      <t xml:space="preserve">t </t>
    </r>
    <r>
      <rPr>
        <sz val="11"/>
        <color rgb="FF000000"/>
        <rFont val="Aptos Narrow"/>
        <family val="2"/>
        <scheme val="minor"/>
      </rPr>
      <t>(mm)</t>
    </r>
  </si>
  <si>
    <r>
      <t xml:space="preserve">Fin parameter </t>
    </r>
    <r>
      <rPr>
        <i/>
        <sz val="11"/>
        <color rgb="FF000000"/>
        <rFont val="Aptos Narrow"/>
        <family val="2"/>
        <scheme val="minor"/>
      </rPr>
      <t xml:space="preserve">m </t>
    </r>
    <r>
      <rPr>
        <sz val="11"/>
        <color rgb="FF000000"/>
        <rFont val="Aptos Narrow"/>
        <family val="2"/>
        <scheme val="minor"/>
      </rPr>
      <t>(m</t>
    </r>
    <r>
      <rPr>
        <vertAlign val="superscript"/>
        <sz val="11"/>
        <color rgb="FF000000"/>
        <rFont val="Aptos Narrow"/>
        <family val="2"/>
        <scheme val="minor"/>
      </rPr>
      <t>−1</t>
    </r>
    <r>
      <rPr>
        <sz val="11"/>
        <color rgb="FF000000"/>
        <rFont val="Aptos Narrow"/>
        <family val="2"/>
        <scheme val="minor"/>
      </rPr>
      <t>)</t>
    </r>
  </si>
  <si>
    <r>
      <t xml:space="preserve">Fin width </t>
    </r>
    <r>
      <rPr>
        <i/>
        <sz val="11"/>
        <color rgb="FF000000"/>
        <rFont val="Aptos Narrow"/>
        <family val="2"/>
        <scheme val="minor"/>
      </rPr>
      <t xml:space="preserve">w </t>
    </r>
    <r>
      <rPr>
        <sz val="11"/>
        <color rgb="FF000000"/>
        <rFont val="Aptos Narrow"/>
        <family val="2"/>
        <scheme val="minor"/>
      </rPr>
      <t>(mm)</t>
    </r>
  </si>
  <si>
    <r>
      <t xml:space="preserve">Corrected length </t>
    </r>
    <r>
      <rPr>
        <i/>
        <sz val="11"/>
        <color rgb="FF000000"/>
        <rFont val="Aptos Narrow"/>
        <family val="2"/>
        <scheme val="minor"/>
      </rPr>
      <t>L</t>
    </r>
    <r>
      <rPr>
        <sz val="11"/>
        <color rgb="FF000000"/>
        <rFont val="Aptos Narrow"/>
        <family val="2"/>
        <scheme val="minor"/>
      </rPr>
      <t>c (m)</t>
    </r>
  </si>
  <si>
    <r>
      <t>mL</t>
    </r>
    <r>
      <rPr>
        <sz val="11"/>
        <color rgb="FF000000"/>
        <rFont val="Aptos Narrow"/>
        <family val="2"/>
        <scheme val="minor"/>
      </rPr>
      <t>c (dimensionless)</t>
    </r>
  </si>
  <si>
    <r>
      <t xml:space="preserve">Fin efficiency </t>
    </r>
    <r>
      <rPr>
        <i/>
        <sz val="11"/>
        <color rgb="FF000000"/>
        <rFont val="Aptos Narrow"/>
        <family val="2"/>
        <scheme val="minor"/>
      </rPr>
      <t>η</t>
    </r>
    <r>
      <rPr>
        <sz val="11"/>
        <color rgb="FF000000"/>
        <rFont val="Aptos Narrow"/>
        <family val="2"/>
        <scheme val="minor"/>
      </rPr>
      <t>fin (%)</t>
    </r>
  </si>
  <si>
    <r>
      <t xml:space="preserve">Fin surface area </t>
    </r>
    <r>
      <rPr>
        <i/>
        <sz val="11"/>
        <color rgb="FF000000"/>
        <rFont val="Aptos Narrow"/>
        <family val="2"/>
        <scheme val="minor"/>
      </rPr>
      <t>A</t>
    </r>
    <r>
      <rPr>
        <sz val="11"/>
        <color rgb="FF000000"/>
        <rFont val="Aptos Narrow"/>
        <family val="2"/>
        <scheme val="minor"/>
      </rPr>
      <t>fin (m</t>
    </r>
    <r>
      <rPr>
        <vertAlign val="superscript"/>
        <sz val="11"/>
        <color rgb="FF000000"/>
        <rFont val="Aptos Narrow"/>
        <family val="2"/>
        <scheme val="minor"/>
      </rPr>
      <t>2</t>
    </r>
    <r>
      <rPr>
        <sz val="11"/>
        <color rgb="FF000000"/>
        <rFont val="Aptos Narrow"/>
        <family val="2"/>
        <scheme val="minor"/>
      </rPr>
      <t>)</t>
    </r>
  </si>
  <si>
    <r>
      <t>Q</t>
    </r>
    <r>
      <rPr>
        <sz val="11"/>
        <color rgb="FF000000"/>
        <rFont val="Aptos Narrow"/>
        <family val="2"/>
        <scheme val="minor"/>
      </rPr>
      <t>fin,max (W)</t>
    </r>
  </si>
  <si>
    <r>
      <t>Q</t>
    </r>
    <r>
      <rPr>
        <sz val="11"/>
        <color rgb="FF000000"/>
        <rFont val="Aptos Narrow"/>
        <family val="2"/>
        <scheme val="minor"/>
      </rPr>
      <t>fin (actual) (W)</t>
    </r>
  </si>
  <si>
    <r>
      <t xml:space="preserve">Fin effectiveness </t>
    </r>
    <r>
      <rPr>
        <i/>
        <sz val="11"/>
        <color rgb="FF000000"/>
        <rFont val="Aptos Narrow"/>
        <family val="2"/>
        <scheme val="minor"/>
      </rPr>
      <t>ε</t>
    </r>
    <r>
      <rPr>
        <sz val="11"/>
        <color rgb="FF000000"/>
        <rFont val="Aptos Narrow"/>
        <family val="2"/>
        <scheme val="minor"/>
      </rPr>
      <t>fin</t>
    </r>
  </si>
  <si>
    <r>
      <t>Thermal conductivity (</t>
    </r>
    <r>
      <rPr>
        <i/>
        <sz val="11"/>
        <color rgb="FF000000"/>
        <rFont val="Aptos Narrow"/>
        <family val="2"/>
        <scheme val="minor"/>
      </rPr>
      <t>k</t>
    </r>
    <r>
      <rPr>
        <sz val="11"/>
        <color rgb="FF000000"/>
        <rFont val="Aptos Narrow"/>
        <family val="2"/>
        <scheme val="minor"/>
      </rPr>
      <t>) W/m·K </t>
    </r>
  </si>
  <si>
    <r>
      <t>Density (</t>
    </r>
    <r>
      <rPr>
        <i/>
        <sz val="11"/>
        <color rgb="FF000000"/>
        <rFont val="Aptos Narrow"/>
        <family val="2"/>
        <scheme val="minor"/>
      </rPr>
      <t>ρ</t>
    </r>
    <r>
      <rPr>
        <sz val="11"/>
        <color rgb="FF000000"/>
        <rFont val="Aptos Narrow"/>
        <family val="2"/>
        <scheme val="minor"/>
      </rPr>
      <t>) kg/m3</t>
    </r>
  </si>
  <si>
    <r>
      <t>Specific heat (</t>
    </r>
    <r>
      <rPr>
        <i/>
        <sz val="11"/>
        <color rgb="FF000000"/>
        <rFont val="Aptos Narrow"/>
        <family val="2"/>
        <scheme val="minor"/>
      </rPr>
      <t>c</t>
    </r>
    <r>
      <rPr>
        <sz val="11"/>
        <color rgb="FF000000"/>
        <rFont val="Aptos Narrow"/>
        <family val="2"/>
        <scheme val="minor"/>
      </rPr>
      <t>p) J/kg·K</t>
    </r>
  </si>
  <si>
    <r>
      <t>Base temperature (</t>
    </r>
    <r>
      <rPr>
        <i/>
        <sz val="11"/>
        <color rgb="FF000000"/>
        <rFont val="Aptos Narrow"/>
        <family val="2"/>
        <scheme val="minor"/>
      </rPr>
      <t>T</t>
    </r>
    <r>
      <rPr>
        <sz val="11"/>
        <color rgb="FF000000"/>
        <rFont val="Aptos Narrow"/>
        <family val="2"/>
        <scheme val="minor"/>
      </rPr>
      <t>b) °C</t>
    </r>
  </si>
  <si>
    <r>
      <t>Ambient temperature (</t>
    </r>
    <r>
      <rPr>
        <i/>
        <sz val="11"/>
        <color rgb="FF000000"/>
        <rFont val="Aptos Narrow"/>
        <family val="2"/>
        <scheme val="minor"/>
      </rPr>
      <t>T</t>
    </r>
    <r>
      <rPr>
        <sz val="11"/>
        <color rgb="FF000000"/>
        <rFont val="Aptos Narrow"/>
        <family val="2"/>
        <scheme val="minor"/>
      </rPr>
      <t>∞) °C</t>
    </r>
  </si>
  <si>
    <r>
      <t>Convection coefficient (</t>
    </r>
    <r>
      <rPr>
        <i/>
        <sz val="11"/>
        <color rgb="FF000000"/>
        <rFont val="Aptos Narrow"/>
        <family val="2"/>
        <scheme val="minor"/>
      </rPr>
      <t>h</t>
    </r>
    <r>
      <rPr>
        <sz val="11"/>
        <color rgb="FF000000"/>
        <rFont val="Aptos Narrow"/>
        <family val="2"/>
        <scheme val="minor"/>
      </rPr>
      <t>) W/m2·K</t>
    </r>
  </si>
  <si>
    <t>Overall width across fins (m)</t>
  </si>
  <si>
    <t>Overall fin effectiveness</t>
  </si>
  <si>
    <t>Number of fins</t>
  </si>
  <si>
    <t>Total heat transfer (W)</t>
  </si>
  <si>
    <t>Total finned area (m2)</t>
  </si>
  <si>
    <t>Base area (m2)</t>
  </si>
  <si>
    <t>Unfinned base area (m2)</t>
  </si>
  <si>
    <t>Thermal resistance (°C/W)</t>
  </si>
  <si>
    <t>Manufacturer Vertical resistance (°C/W)</t>
  </si>
  <si>
    <t>Manufacturer Horizontal resistance (°C/W)</t>
  </si>
  <si>
    <t>Quantity</t>
  </si>
  <si>
    <t>Analytical</t>
  </si>
  <si>
    <t>ANSYS</t>
  </si>
  <si>
    <t>% Difference</t>
  </si>
  <si>
    <t>Base temperature, °C</t>
  </si>
  <si>
    <t>Tip temperature, °C</t>
  </si>
  <si>
    <t>T at x = L/4, °C</t>
  </si>
  <si>
    <t>T at x = L/2, °C</t>
  </si>
  <si>
    <t>T at x = 3L/4, °C</t>
  </si>
  <si>
    <t>Length [mm]</t>
  </si>
  <si>
    <t>Temperature [°C]</t>
  </si>
  <si>
    <t>ANSYS Data:</t>
  </si>
  <si>
    <t xml:space="preserve">Analytical Data: </t>
  </si>
  <si>
    <t>Analytical Data in m:</t>
  </si>
  <si>
    <t>Paramtetric Table</t>
  </si>
  <si>
    <t>h (W/m^2·K)</t>
  </si>
  <si>
    <t>m (m^-1)</t>
  </si>
  <si>
    <t>eta_fin</t>
  </si>
  <si>
    <t>Qfin (W)</t>
  </si>
  <si>
    <t>Qtotal (W)</t>
  </si>
  <si>
    <t>R (C/W)</t>
  </si>
  <si>
    <t>Heat transfer per fin (W)</t>
  </si>
  <si>
    <t>N/A, full sink modeled</t>
  </si>
  <si>
    <t>N/A</t>
  </si>
  <si>
    <t>Fin efficiency (ηfin)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</si>
</sst>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00000"/>
  </numFmts>
  <fonts count="7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vertAlign val="superscript"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right"/>
    </xf>
    <xf numFmtId="0" fontId="5" fillId="0" borderId="0" xfId="0" applyFont="1" applyBorder="1" applyAlignment="1">
      <alignment horizontal="left" vertical="center" wrapText="1"/>
    </xf>
    <xf numFmtId="2" fontId="0" fillId="0" borderId="0" xfId="0" applyNumberForma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/>
    <xf numFmtId="167" fontId="0" fillId="0" borderId="0" xfId="0" applyNumberFormat="1"/>
    <xf numFmtId="0" fontId="0" fillId="0" borderId="2" xfId="0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/>
              <a:t>Temperature Distribution Along the Fin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'Temprature Dist. Table'!$B$1</c:f>
              <c:strCache>
                <c:ptCount val="1"/>
                <c:pt idx="0">
                  <c:v>T(x) (°C)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'Temprature Dist. Table'!$A$2:$A$11</c:f>
              <c:numCache>
                <c:formatCode>General</c:formatCode>
                <c:ptCount val="10"/>
                <c:pt idx="0">
                  <c:v>0</c:v>
                </c:pt>
                <c:pt idx="1">
                  <c:v>4.5555555555555557E-3</c:v>
                </c:pt>
                <c:pt idx="2">
                  <c:v>9.1111111111111115E-3</c:v>
                </c:pt>
                <c:pt idx="3">
                  <c:v>1.3666666666666667E-2</c:v>
                </c:pt>
                <c:pt idx="4">
                  <c:v>1.8222222222222223E-2</c:v>
                </c:pt>
                <c:pt idx="5">
                  <c:v>2.2777777777777779E-2</c:v>
                </c:pt>
                <c:pt idx="6">
                  <c:v>2.7333333333333334E-2</c:v>
                </c:pt>
                <c:pt idx="7">
                  <c:v>3.188888888888889E-2</c:v>
                </c:pt>
                <c:pt idx="8">
                  <c:v>3.6444444444444446E-2</c:v>
                </c:pt>
                <c:pt idx="9">
                  <c:v>4.1000000000000002E-2</c:v>
                </c:pt>
              </c:numCache>
            </c:numRef>
          </c:xVal>
          <c:yVal>
            <c:numRef>
              <c:f>'Temprature Dist. Table'!$B$2:$B$11</c:f>
              <c:numCache>
                <c:formatCode>General</c:formatCode>
                <c:ptCount val="10"/>
                <c:pt idx="0">
                  <c:v>80</c:v>
                </c:pt>
                <c:pt idx="1">
                  <c:v>79.422996489514674</c:v>
                </c:pt>
                <c:pt idx="2">
                  <c:v>78.915599630351863</c:v>
                </c:pt>
                <c:pt idx="3">
                  <c:v>78.477160465296095</c:v>
                </c:pt>
                <c:pt idx="4">
                  <c:v>78.107118233565075</c:v>
                </c:pt>
                <c:pt idx="5">
                  <c:v>77.804999653600262</c:v>
                </c:pt>
                <c:pt idx="6">
                  <c:v>77.570418317742906</c:v>
                </c:pt>
                <c:pt idx="7">
                  <c:v>77.403074198021329</c:v>
                </c:pt>
                <c:pt idx="8">
                  <c:v>77.302753262417014</c:v>
                </c:pt>
                <c:pt idx="9">
                  <c:v>77.269327201119097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FE8-4BCF-A8F0-F6D203608404}"/>
            </c:ext>
          </c:extLst>
        </c:ser>
        <c:ser>
          <c:idx val="1"/>
          <c:order val="1"/>
          <c:tx>
            <c:v>Tb (°C)</c:v>
          </c:tx>
          <c:spPr>
            <a:ln w="19050" cap="rnd">
              <a:solidFill>
                <a:schemeClr val="accent2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'Temprature Dist. Table'!$A$2:$A$11</c:f>
              <c:numCache>
                <c:formatCode>General</c:formatCode>
                <c:ptCount val="10"/>
                <c:pt idx="0">
                  <c:v>0</c:v>
                </c:pt>
                <c:pt idx="1">
                  <c:v>4.5555555555555557E-3</c:v>
                </c:pt>
                <c:pt idx="2">
                  <c:v>9.1111111111111115E-3</c:v>
                </c:pt>
                <c:pt idx="3">
                  <c:v>1.3666666666666667E-2</c:v>
                </c:pt>
                <c:pt idx="4">
                  <c:v>1.8222222222222223E-2</c:v>
                </c:pt>
                <c:pt idx="5">
                  <c:v>2.2777777777777779E-2</c:v>
                </c:pt>
                <c:pt idx="6">
                  <c:v>2.7333333333333334E-2</c:v>
                </c:pt>
                <c:pt idx="7">
                  <c:v>3.188888888888889E-2</c:v>
                </c:pt>
                <c:pt idx="8">
                  <c:v>3.6444444444444446E-2</c:v>
                </c:pt>
                <c:pt idx="9">
                  <c:v>4.1000000000000002E-2</c:v>
                </c:pt>
              </c:numCache>
            </c:numRef>
          </c:xVal>
          <c:yVal>
            <c:numRef>
              <c:f>'Temprature Dist. Table'!$C$2:$C$11</c:f>
              <c:numCache>
                <c:formatCode>General</c:formatCode>
                <c:ptCount val="10"/>
                <c:pt idx="0">
                  <c:v>80</c:v>
                </c:pt>
                <c:pt idx="1">
                  <c:v>80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B-FFE8-4BCF-A8F0-F6D203608404}"/>
            </c:ext>
          </c:extLst>
        </c:ser>
        <c:ser>
          <c:idx val="2"/>
          <c:order val="2"/>
          <c:tx>
            <c:v>T∞ (°C)</c:v>
          </c:tx>
          <c:spPr>
            <a:ln w="19050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'Temprature Dist. Table'!$A$2:$A$11</c:f>
              <c:numCache>
                <c:formatCode>General</c:formatCode>
                <c:ptCount val="10"/>
                <c:pt idx="0">
                  <c:v>0</c:v>
                </c:pt>
                <c:pt idx="1">
                  <c:v>4.5555555555555557E-3</c:v>
                </c:pt>
                <c:pt idx="2">
                  <c:v>9.1111111111111115E-3</c:v>
                </c:pt>
                <c:pt idx="3">
                  <c:v>1.3666666666666667E-2</c:v>
                </c:pt>
                <c:pt idx="4">
                  <c:v>1.8222222222222223E-2</c:v>
                </c:pt>
                <c:pt idx="5">
                  <c:v>2.2777777777777779E-2</c:v>
                </c:pt>
                <c:pt idx="6">
                  <c:v>2.7333333333333334E-2</c:v>
                </c:pt>
                <c:pt idx="7">
                  <c:v>3.188888888888889E-2</c:v>
                </c:pt>
                <c:pt idx="8">
                  <c:v>3.6444444444444446E-2</c:v>
                </c:pt>
                <c:pt idx="9">
                  <c:v>4.1000000000000002E-2</c:v>
                </c:pt>
              </c:numCache>
            </c:numRef>
          </c:xVal>
          <c:yVal>
            <c:numRef>
              <c:f>'Temprature Dist. Table'!$D$2:$D$11</c:f>
              <c:numCache>
                <c:formatCode>General</c:formatCode>
                <c:ptCount val="10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C-FFE8-4BCF-A8F0-F6D2036084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7653791"/>
        <c:axId val="437658111"/>
      </c:scatterChart>
      <c:valAx>
        <c:axId val="4376537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Distance along fin, x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7658111"/>
        <c:crosses val="autoZero"/>
        <c:crossBetween val="midCat"/>
      </c:valAx>
      <c:valAx>
        <c:axId val="4376581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Temperature, T(x)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765379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366150659738965"/>
          <c:y val="4.5056867891513565E-2"/>
          <c:w val="0.1512475226310997"/>
          <c:h val="0.203314676026942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/>
              <a:t>Analytical vs ANSYS Temperature Distribution Along Fin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ANSYS</c:v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'Comparison Table'!$G$2:$G$50</c:f>
              <c:numCache>
                <c:formatCode>General</c:formatCode>
                <c:ptCount val="49"/>
                <c:pt idx="0">
                  <c:v>0</c:v>
                </c:pt>
                <c:pt idx="1">
                  <c:v>0.83333000000000002</c:v>
                </c:pt>
                <c:pt idx="2">
                  <c:v>1.6667000000000001</c:v>
                </c:pt>
                <c:pt idx="3">
                  <c:v>2.5</c:v>
                </c:pt>
                <c:pt idx="4">
                  <c:v>3.3332999999999999</c:v>
                </c:pt>
                <c:pt idx="5">
                  <c:v>4.1666999999999996</c:v>
                </c:pt>
                <c:pt idx="6">
                  <c:v>5</c:v>
                </c:pt>
                <c:pt idx="7">
                  <c:v>5.8333000000000004</c:v>
                </c:pt>
                <c:pt idx="8">
                  <c:v>6.6666999999999996</c:v>
                </c:pt>
                <c:pt idx="9">
                  <c:v>7.5</c:v>
                </c:pt>
                <c:pt idx="10">
                  <c:v>8.3332999999999995</c:v>
                </c:pt>
                <c:pt idx="11">
                  <c:v>9.1667000000000005</c:v>
                </c:pt>
                <c:pt idx="12">
                  <c:v>10</c:v>
                </c:pt>
                <c:pt idx="13">
                  <c:v>10.833</c:v>
                </c:pt>
                <c:pt idx="14">
                  <c:v>11.667</c:v>
                </c:pt>
                <c:pt idx="15">
                  <c:v>12.5</c:v>
                </c:pt>
                <c:pt idx="16">
                  <c:v>13.333</c:v>
                </c:pt>
                <c:pt idx="17">
                  <c:v>14.167</c:v>
                </c:pt>
                <c:pt idx="18">
                  <c:v>15</c:v>
                </c:pt>
                <c:pt idx="19">
                  <c:v>15.833</c:v>
                </c:pt>
                <c:pt idx="20">
                  <c:v>16.667000000000002</c:v>
                </c:pt>
                <c:pt idx="21">
                  <c:v>17.5</c:v>
                </c:pt>
                <c:pt idx="22">
                  <c:v>18.332999999999998</c:v>
                </c:pt>
                <c:pt idx="23">
                  <c:v>19.167000000000002</c:v>
                </c:pt>
                <c:pt idx="24">
                  <c:v>20</c:v>
                </c:pt>
                <c:pt idx="25">
                  <c:v>20.832999999999998</c:v>
                </c:pt>
                <c:pt idx="26">
                  <c:v>21.667000000000002</c:v>
                </c:pt>
                <c:pt idx="27">
                  <c:v>22.5</c:v>
                </c:pt>
                <c:pt idx="28">
                  <c:v>23.332999999999998</c:v>
                </c:pt>
                <c:pt idx="29">
                  <c:v>24.167000000000002</c:v>
                </c:pt>
                <c:pt idx="30">
                  <c:v>25</c:v>
                </c:pt>
                <c:pt idx="31">
                  <c:v>25.832999999999998</c:v>
                </c:pt>
                <c:pt idx="32">
                  <c:v>26.667000000000002</c:v>
                </c:pt>
                <c:pt idx="33">
                  <c:v>27.5</c:v>
                </c:pt>
                <c:pt idx="34">
                  <c:v>28.332999999999998</c:v>
                </c:pt>
                <c:pt idx="35">
                  <c:v>29.167000000000002</c:v>
                </c:pt>
                <c:pt idx="36">
                  <c:v>30</c:v>
                </c:pt>
                <c:pt idx="37">
                  <c:v>30.832999999999998</c:v>
                </c:pt>
                <c:pt idx="38">
                  <c:v>31.667000000000002</c:v>
                </c:pt>
                <c:pt idx="39">
                  <c:v>32.5</c:v>
                </c:pt>
                <c:pt idx="40">
                  <c:v>33.332999999999998</c:v>
                </c:pt>
                <c:pt idx="41">
                  <c:v>34.167000000000002</c:v>
                </c:pt>
                <c:pt idx="42">
                  <c:v>35</c:v>
                </c:pt>
                <c:pt idx="43">
                  <c:v>35.832999999999998</c:v>
                </c:pt>
                <c:pt idx="44">
                  <c:v>36.667000000000002</c:v>
                </c:pt>
                <c:pt idx="45">
                  <c:v>37.5</c:v>
                </c:pt>
                <c:pt idx="46">
                  <c:v>38.332999999999998</c:v>
                </c:pt>
                <c:pt idx="47">
                  <c:v>39.167000000000002</c:v>
                </c:pt>
                <c:pt idx="48">
                  <c:v>40</c:v>
                </c:pt>
              </c:numCache>
            </c:numRef>
          </c:xVal>
          <c:yVal>
            <c:numRef>
              <c:f>'Comparison Table'!$H$2:$H$50</c:f>
              <c:numCache>
                <c:formatCode>General</c:formatCode>
                <c:ptCount val="49"/>
                <c:pt idx="0">
                  <c:v>79.766999999999996</c:v>
                </c:pt>
                <c:pt idx="1">
                  <c:v>79.602999999999994</c:v>
                </c:pt>
                <c:pt idx="2">
                  <c:v>79.47</c:v>
                </c:pt>
                <c:pt idx="3">
                  <c:v>79.340999999999994</c:v>
                </c:pt>
                <c:pt idx="4">
                  <c:v>79.215000000000003</c:v>
                </c:pt>
                <c:pt idx="5">
                  <c:v>79.091999999999999</c:v>
                </c:pt>
                <c:pt idx="6">
                  <c:v>78.971000000000004</c:v>
                </c:pt>
                <c:pt idx="7">
                  <c:v>78.852999999999994</c:v>
                </c:pt>
                <c:pt idx="8">
                  <c:v>78.738</c:v>
                </c:pt>
                <c:pt idx="9">
                  <c:v>78.626000000000005</c:v>
                </c:pt>
                <c:pt idx="10">
                  <c:v>78.516999999999996</c:v>
                </c:pt>
                <c:pt idx="11">
                  <c:v>78.41</c:v>
                </c:pt>
                <c:pt idx="12">
                  <c:v>78.305999999999997</c:v>
                </c:pt>
                <c:pt idx="13">
                  <c:v>78.204999999999998</c:v>
                </c:pt>
                <c:pt idx="14">
                  <c:v>78.106999999999999</c:v>
                </c:pt>
                <c:pt idx="15">
                  <c:v>78.010999999999996</c:v>
                </c:pt>
                <c:pt idx="16">
                  <c:v>77.918999999999997</c:v>
                </c:pt>
                <c:pt idx="17">
                  <c:v>77.828999999999994</c:v>
                </c:pt>
                <c:pt idx="18">
                  <c:v>77.742000000000004</c:v>
                </c:pt>
                <c:pt idx="19">
                  <c:v>77.656999999999996</c:v>
                </c:pt>
                <c:pt idx="20">
                  <c:v>77.575999999999993</c:v>
                </c:pt>
                <c:pt idx="21">
                  <c:v>77.497</c:v>
                </c:pt>
                <c:pt idx="22">
                  <c:v>77.421000000000006</c:v>
                </c:pt>
                <c:pt idx="23">
                  <c:v>77.346999999999994</c:v>
                </c:pt>
                <c:pt idx="24">
                  <c:v>77.277000000000001</c:v>
                </c:pt>
                <c:pt idx="25">
                  <c:v>77.209000000000003</c:v>
                </c:pt>
                <c:pt idx="26">
                  <c:v>77.144000000000005</c:v>
                </c:pt>
                <c:pt idx="27">
                  <c:v>77.081999999999994</c:v>
                </c:pt>
                <c:pt idx="28">
                  <c:v>77.022000000000006</c:v>
                </c:pt>
                <c:pt idx="29">
                  <c:v>76.965000000000003</c:v>
                </c:pt>
                <c:pt idx="30">
                  <c:v>76.911000000000001</c:v>
                </c:pt>
                <c:pt idx="31">
                  <c:v>76.86</c:v>
                </c:pt>
                <c:pt idx="32">
                  <c:v>76.811999999999998</c:v>
                </c:pt>
                <c:pt idx="33">
                  <c:v>76.766000000000005</c:v>
                </c:pt>
                <c:pt idx="34">
                  <c:v>76.722999999999999</c:v>
                </c:pt>
                <c:pt idx="35">
                  <c:v>76.683000000000007</c:v>
                </c:pt>
                <c:pt idx="36">
                  <c:v>76.644999999999996</c:v>
                </c:pt>
                <c:pt idx="37">
                  <c:v>76.611000000000004</c:v>
                </c:pt>
                <c:pt idx="38">
                  <c:v>76.578999999999994</c:v>
                </c:pt>
                <c:pt idx="39">
                  <c:v>76.549000000000007</c:v>
                </c:pt>
                <c:pt idx="40">
                  <c:v>76.522999999999996</c:v>
                </c:pt>
                <c:pt idx="41">
                  <c:v>76.498999999999995</c:v>
                </c:pt>
                <c:pt idx="42">
                  <c:v>76.477999999999994</c:v>
                </c:pt>
                <c:pt idx="43">
                  <c:v>76.459999999999994</c:v>
                </c:pt>
                <c:pt idx="44">
                  <c:v>76.444000000000003</c:v>
                </c:pt>
                <c:pt idx="45">
                  <c:v>76.430999999999997</c:v>
                </c:pt>
                <c:pt idx="46">
                  <c:v>76.421000000000006</c:v>
                </c:pt>
                <c:pt idx="47">
                  <c:v>76.414000000000001</c:v>
                </c:pt>
                <c:pt idx="48">
                  <c:v>76.409000000000006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46B-48D4-8C7E-D0CD295427DC}"/>
            </c:ext>
          </c:extLst>
        </c:ser>
        <c:ser>
          <c:idx val="1"/>
          <c:order val="1"/>
          <c:tx>
            <c:v>Analytical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'Comparison Table'!$L$2:$L$11</c:f>
              <c:numCache>
                <c:formatCode>0.000000</c:formatCode>
                <c:ptCount val="10"/>
                <c:pt idx="0">
                  <c:v>0</c:v>
                </c:pt>
                <c:pt idx="1">
                  <c:v>4.5555555555555554</c:v>
                </c:pt>
                <c:pt idx="2">
                  <c:v>9.1111111111111107</c:v>
                </c:pt>
                <c:pt idx="3">
                  <c:v>13.666666666666668</c:v>
                </c:pt>
                <c:pt idx="4">
                  <c:v>18.222222222222221</c:v>
                </c:pt>
                <c:pt idx="5">
                  <c:v>22.777777777777779</c:v>
                </c:pt>
                <c:pt idx="6">
                  <c:v>27.333333333333336</c:v>
                </c:pt>
                <c:pt idx="7">
                  <c:v>31.888888888888889</c:v>
                </c:pt>
                <c:pt idx="8">
                  <c:v>36.444444444444443</c:v>
                </c:pt>
                <c:pt idx="9">
                  <c:v>41</c:v>
                </c:pt>
              </c:numCache>
            </c:numRef>
          </c:xVal>
          <c:yVal>
            <c:numRef>
              <c:f>'Comparison Table'!$M$2:$M$11</c:f>
              <c:numCache>
                <c:formatCode>General</c:formatCode>
                <c:ptCount val="10"/>
                <c:pt idx="0">
                  <c:v>80</c:v>
                </c:pt>
                <c:pt idx="1">
                  <c:v>79.422996489514674</c:v>
                </c:pt>
                <c:pt idx="2">
                  <c:v>78.915599630351863</c:v>
                </c:pt>
                <c:pt idx="3">
                  <c:v>78.477160465296095</c:v>
                </c:pt>
                <c:pt idx="4">
                  <c:v>78.107118233565075</c:v>
                </c:pt>
                <c:pt idx="5">
                  <c:v>77.804999653600262</c:v>
                </c:pt>
                <c:pt idx="6">
                  <c:v>77.570418317742906</c:v>
                </c:pt>
                <c:pt idx="7">
                  <c:v>77.403074198021329</c:v>
                </c:pt>
                <c:pt idx="8">
                  <c:v>77.302753262417014</c:v>
                </c:pt>
                <c:pt idx="9">
                  <c:v>77.269327201119097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756-481F-AC69-4F2CB3DB50D7}"/>
            </c:ext>
          </c:extLst>
        </c:ser>
        <c:dLbls>
          <c:dLblPos val="t"/>
          <c:showLegendKey val="0"/>
          <c:showVal val="0"/>
          <c:showCatName val="0"/>
          <c:showSerName val="0"/>
          <c:showPercent val="0"/>
          <c:showBubbleSize val="0"/>
        </c:dLbls>
        <c:axId val="48621903"/>
        <c:axId val="48627663"/>
      </c:scatterChart>
      <c:valAx>
        <c:axId val="486219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baseline="0"/>
                  <a:t>Distance along fin, x (mm)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627663"/>
        <c:crosses val="autoZero"/>
        <c:crossBetween val="midCat"/>
      </c:valAx>
      <c:valAx>
        <c:axId val="486276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baseline="0"/>
                  <a:t>Temperature, T(x) (°C)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62190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5577807708247"/>
          <c:y val="0.11690457142055105"/>
          <c:w val="0.11710618646895943"/>
          <c:h val="0.12295171548892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/>
              <a:t>Effect of Convection Coefficient on Thermal Resistance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'Study Data and Charts '!$I$7</c:f>
              <c:strCache>
                <c:ptCount val="1"/>
                <c:pt idx="0">
                  <c:v>R (C/W)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'Study Data and Charts '!$D$8:$D$10</c:f>
              <c:numCache>
                <c:formatCode>General</c:formatCode>
                <c:ptCount val="3"/>
                <c:pt idx="0">
                  <c:v>8</c:v>
                </c:pt>
                <c:pt idx="1">
                  <c:v>12</c:v>
                </c:pt>
                <c:pt idx="2">
                  <c:v>16</c:v>
                </c:pt>
              </c:numCache>
            </c:numRef>
          </c:xVal>
          <c:yVal>
            <c:numRef>
              <c:f>'Study Data and Charts '!$I$8:$I$10</c:f>
              <c:numCache>
                <c:formatCode>General</c:formatCode>
                <c:ptCount val="3"/>
                <c:pt idx="0">
                  <c:v>1.855</c:v>
                </c:pt>
                <c:pt idx="1">
                  <c:v>1.2490000000000001</c:v>
                </c:pt>
                <c:pt idx="2">
                  <c:v>0.94599999999999995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735-48C0-9560-2AD5E5FB1548}"/>
            </c:ext>
          </c:extLst>
        </c:ser>
        <c:dLbls>
          <c:dLblPos val="t"/>
          <c:showLegendKey val="0"/>
          <c:showVal val="0"/>
          <c:showCatName val="0"/>
          <c:showSerName val="0"/>
          <c:showPercent val="0"/>
          <c:showBubbleSize val="0"/>
        </c:dLbls>
        <c:axId val="1490671071"/>
        <c:axId val="1490682591"/>
      </c:scatterChart>
      <c:valAx>
        <c:axId val="14906710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baseline="0"/>
                  <a:t>Convection coefficient, h (W/m^2·K)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0682591"/>
        <c:crosses val="autoZero"/>
        <c:crossBetween val="midCat"/>
      </c:valAx>
      <c:valAx>
        <c:axId val="14906825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baseline="0"/>
                  <a:t>Thermal resistance, R (C/W)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06710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0</xdr:row>
      <xdr:rowOff>66675</xdr:rowOff>
    </xdr:from>
    <xdr:to>
      <xdr:col>14</xdr:col>
      <xdr:colOff>161925</xdr:colOff>
      <xdr:row>16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5690E16-B62D-44E9-9C10-8AB590BAA3F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9526</xdr:colOff>
      <xdr:row>11</xdr:row>
      <xdr:rowOff>180975</xdr:rowOff>
    </xdr:from>
    <xdr:to>
      <xdr:col>16</xdr:col>
      <xdr:colOff>523876</xdr:colOff>
      <xdr:row>30</xdr:row>
      <xdr:rowOff>47624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CA73F67-9D2B-E046-3274-F1AD91FC9E4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1349761</xdr:colOff>
      <xdr:row>15</xdr:row>
      <xdr:rowOff>92926</xdr:rowOff>
    </xdr:from>
    <xdr:to>
      <xdr:col>10</xdr:col>
      <xdr:colOff>487865</xdr:colOff>
      <xdr:row>27</xdr:row>
      <xdr:rowOff>267164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8D8151A-8EE9-B781-F499-5AE41F35BE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21212-C21C-4910-83C6-2A305C82612B}">
  <dimension ref="A1:M30"/>
  <sheetViews>
    <sheetView zoomScale="82" zoomScaleNormal="82" workbookViewId="0">
      <selection activeCell="M32" sqref="M32"/>
    </sheetView>
  </sheetViews>
  <sheetFormatPr defaultRowHeight="15" x14ac:dyDescent="0.25"/>
  <cols>
    <col min="1" max="1" width="24.140625" customWidth="1"/>
    <col min="2" max="2" width="14.42578125" customWidth="1"/>
    <col min="3" max="3" width="20.42578125" customWidth="1"/>
    <col min="4" max="4" width="15.85546875" customWidth="1"/>
    <col min="12" max="12" width="33" customWidth="1"/>
    <col min="13" max="13" width="28.42578125" customWidth="1"/>
  </cols>
  <sheetData>
    <row r="1" spans="1:13" ht="32.25" thickBot="1" x14ac:dyDescent="0.3">
      <c r="A1" s="1" t="s">
        <v>2</v>
      </c>
      <c r="B1" s="1" t="s">
        <v>3</v>
      </c>
      <c r="C1" s="1" t="s">
        <v>4</v>
      </c>
      <c r="D1" s="1" t="s">
        <v>28</v>
      </c>
    </row>
    <row r="2" spans="1:13" ht="15.75" thickBot="1" x14ac:dyDescent="0.3">
      <c r="A2" s="1" t="s">
        <v>5</v>
      </c>
      <c r="B2" s="2" t="s">
        <v>6</v>
      </c>
      <c r="C2" s="2" t="s">
        <v>7</v>
      </c>
      <c r="D2" s="2">
        <v>677</v>
      </c>
    </row>
    <row r="3" spans="1:13" x14ac:dyDescent="0.25">
      <c r="L3" s="3" t="s">
        <v>0</v>
      </c>
      <c r="M3" s="3" t="s">
        <v>1</v>
      </c>
    </row>
    <row r="4" spans="1:13" x14ac:dyDescent="0.25">
      <c r="L4" s="4" t="s">
        <v>29</v>
      </c>
      <c r="M4" s="5">
        <f>B8/1000</f>
        <v>0.04</v>
      </c>
    </row>
    <row r="5" spans="1:13" x14ac:dyDescent="0.25">
      <c r="A5" t="s">
        <v>8</v>
      </c>
      <c r="L5" s="4" t="s">
        <v>30</v>
      </c>
      <c r="M5" s="5">
        <f t="shared" ref="M5" si="0">B9/1000</f>
        <v>2E-3</v>
      </c>
    </row>
    <row r="6" spans="1:13" x14ac:dyDescent="0.25">
      <c r="A6" s="3" t="s">
        <v>0</v>
      </c>
      <c r="B6" s="3" t="s">
        <v>1</v>
      </c>
      <c r="L6" s="4" t="s">
        <v>31</v>
      </c>
      <c r="M6" s="5">
        <f>B10/1000</f>
        <v>7.5999999999999998E-2</v>
      </c>
    </row>
    <row r="7" spans="1:13" ht="18.75" customHeight="1" x14ac:dyDescent="0.25">
      <c r="A7" s="4" t="s">
        <v>9</v>
      </c>
      <c r="B7" s="6">
        <v>4</v>
      </c>
      <c r="L7" s="4" t="s">
        <v>32</v>
      </c>
      <c r="M7" s="5">
        <f>2*(M6+M5)</f>
        <v>0.156</v>
      </c>
    </row>
    <row r="8" spans="1:13" ht="17.25" customHeight="1" x14ac:dyDescent="0.25">
      <c r="A8" s="4" t="s">
        <v>33</v>
      </c>
      <c r="B8" s="6">
        <f>44-B7</f>
        <v>40</v>
      </c>
      <c r="L8" s="4" t="s">
        <v>34</v>
      </c>
      <c r="M8" s="5">
        <f>M6*M5</f>
        <v>1.5200000000000001E-4</v>
      </c>
    </row>
    <row r="9" spans="1:13" ht="15.75" customHeight="1" x14ac:dyDescent="0.25">
      <c r="A9" s="4" t="s">
        <v>35</v>
      </c>
      <c r="B9" s="6">
        <v>2</v>
      </c>
      <c r="L9" s="4" t="s">
        <v>36</v>
      </c>
      <c r="M9" s="5">
        <f>SQRT((B29*M7)/(B19*M8))</f>
        <v>7.8472254567089532</v>
      </c>
    </row>
    <row r="10" spans="1:13" x14ac:dyDescent="0.25">
      <c r="A10" s="4" t="s">
        <v>37</v>
      </c>
      <c r="B10" s="6">
        <v>76</v>
      </c>
      <c r="L10" s="4" t="s">
        <v>38</v>
      </c>
      <c r="M10" s="5">
        <f>M4+(M5/2)</f>
        <v>4.1000000000000002E-2</v>
      </c>
    </row>
    <row r="11" spans="1:13" x14ac:dyDescent="0.25">
      <c r="A11" s="4" t="s">
        <v>10</v>
      </c>
      <c r="B11" s="6">
        <v>10</v>
      </c>
      <c r="L11" s="7" t="s">
        <v>39</v>
      </c>
      <c r="M11" s="5">
        <f>M9*M10</f>
        <v>0.32173624372506709</v>
      </c>
    </row>
    <row r="12" spans="1:13" ht="30" x14ac:dyDescent="0.25">
      <c r="A12" s="4" t="s">
        <v>11</v>
      </c>
      <c r="B12" s="6">
        <v>105</v>
      </c>
      <c r="L12" s="4" t="s">
        <v>40</v>
      </c>
      <c r="M12" s="5">
        <f>(TANH(M11)/M11)</f>
        <v>0.9668665050321511</v>
      </c>
    </row>
    <row r="13" spans="1:13" ht="16.5" x14ac:dyDescent="0.25">
      <c r="A13" s="4" t="s">
        <v>12</v>
      </c>
      <c r="B13" s="6">
        <f>(B12-B11*B9)/B11</f>
        <v>8.5</v>
      </c>
      <c r="L13" s="4" t="s">
        <v>41</v>
      </c>
      <c r="M13" s="5">
        <f>2*M6*M10</f>
        <v>6.2319999999999997E-3</v>
      </c>
    </row>
    <row r="14" spans="1:13" x14ac:dyDescent="0.25">
      <c r="L14" s="7" t="s">
        <v>42</v>
      </c>
      <c r="M14" s="5">
        <f>B29*M13*(B27-B28)</f>
        <v>4.1131199999999994</v>
      </c>
    </row>
    <row r="15" spans="1:13" x14ac:dyDescent="0.25">
      <c r="L15" s="7" t="s">
        <v>43</v>
      </c>
      <c r="M15" s="5">
        <f>M12*M14</f>
        <v>3.9768379591778409</v>
      </c>
    </row>
    <row r="16" spans="1:13" ht="15.75" thickBot="1" x14ac:dyDescent="0.3">
      <c r="A16" s="8" t="s">
        <v>17</v>
      </c>
      <c r="L16" s="4" t="s">
        <v>44</v>
      </c>
      <c r="M16" s="5">
        <f>M15/(B29*M6*M5*(B27-B28))</f>
        <v>39.641526706318196</v>
      </c>
    </row>
    <row r="17" spans="1:2" ht="15.75" thickBot="1" x14ac:dyDescent="0.3">
      <c r="A17" s="1" t="s">
        <v>13</v>
      </c>
      <c r="B17" s="1" t="s">
        <v>1</v>
      </c>
    </row>
    <row r="18" spans="1:2" ht="30.75" thickBot="1" x14ac:dyDescent="0.3">
      <c r="A18" s="2" t="s">
        <v>14</v>
      </c>
      <c r="B18" s="2" t="s">
        <v>15</v>
      </c>
    </row>
    <row r="19" spans="1:2" ht="30.75" thickBot="1" x14ac:dyDescent="0.3">
      <c r="A19" s="2" t="s">
        <v>45</v>
      </c>
      <c r="B19" s="2">
        <v>200</v>
      </c>
    </row>
    <row r="20" spans="1:2" ht="15.75" thickBot="1" x14ac:dyDescent="0.3">
      <c r="A20" s="2" t="s">
        <v>46</v>
      </c>
      <c r="B20" s="2">
        <v>2700</v>
      </c>
    </row>
    <row r="21" spans="1:2" ht="15.75" thickBot="1" x14ac:dyDescent="0.3">
      <c r="A21" s="2" t="s">
        <v>47</v>
      </c>
      <c r="B21" s="2">
        <v>900</v>
      </c>
    </row>
    <row r="22" spans="1:2" ht="30.75" thickBot="1" x14ac:dyDescent="0.3">
      <c r="A22" s="2" t="s">
        <v>16</v>
      </c>
      <c r="B22" s="2">
        <v>0.86</v>
      </c>
    </row>
    <row r="25" spans="1:2" ht="15.75" thickBot="1" x14ac:dyDescent="0.3">
      <c r="A25" s="8" t="s">
        <v>18</v>
      </c>
    </row>
    <row r="26" spans="1:2" ht="15.75" thickBot="1" x14ac:dyDescent="0.3">
      <c r="A26" s="1" t="s">
        <v>19</v>
      </c>
      <c r="B26" s="1" t="s">
        <v>1</v>
      </c>
    </row>
    <row r="27" spans="1:2" ht="15.75" thickBot="1" x14ac:dyDescent="0.3">
      <c r="A27" s="2" t="s">
        <v>48</v>
      </c>
      <c r="B27" s="2">
        <v>80</v>
      </c>
    </row>
    <row r="28" spans="1:2" ht="30.75" thickBot="1" x14ac:dyDescent="0.3">
      <c r="A28" s="2" t="s">
        <v>49</v>
      </c>
      <c r="B28" s="2">
        <v>25</v>
      </c>
    </row>
    <row r="29" spans="1:2" ht="30.75" thickBot="1" x14ac:dyDescent="0.3">
      <c r="A29" s="2" t="s">
        <v>50</v>
      </c>
      <c r="B29" s="2">
        <v>12</v>
      </c>
    </row>
    <row r="30" spans="1:2" ht="15.75" thickBot="1" x14ac:dyDescent="0.3">
      <c r="A30" s="2" t="s">
        <v>20</v>
      </c>
      <c r="B30" s="2">
        <v>60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A24DE-BD30-451A-A011-8AE3B882EF33}">
  <dimension ref="A1:F21"/>
  <sheetViews>
    <sheetView workbookViewId="0">
      <selection sqref="A1:D1"/>
    </sheetView>
  </sheetViews>
  <sheetFormatPr defaultRowHeight="15" x14ac:dyDescent="0.25"/>
  <sheetData>
    <row r="1" spans="1:4" x14ac:dyDescent="0.25">
      <c r="A1" s="23" t="s">
        <v>22</v>
      </c>
      <c r="B1" s="23" t="s">
        <v>21</v>
      </c>
      <c r="C1" s="23" t="s">
        <v>23</v>
      </c>
      <c r="D1" s="23" t="s">
        <v>24</v>
      </c>
    </row>
    <row r="2" spans="1:4" x14ac:dyDescent="0.25">
      <c r="A2" s="6">
        <v>0</v>
      </c>
      <c r="B2" s="6">
        <f>25+55*COSH(7.85*(0.041-A2))/COSH(7.85*0.041)</f>
        <v>80</v>
      </c>
      <c r="C2" s="6">
        <v>80</v>
      </c>
      <c r="D2" s="6">
        <v>25</v>
      </c>
    </row>
    <row r="3" spans="1:4" x14ac:dyDescent="0.25">
      <c r="A3" s="6">
        <f>0.041/9</f>
        <v>4.5555555555555557E-3</v>
      </c>
      <c r="B3" s="6">
        <f t="shared" ref="B3:B10" si="0">25+55*COSH(7.85*(0.041-A3))/COSH(7.85*0.041)</f>
        <v>79.422996489514674</v>
      </c>
      <c r="C3" s="6">
        <v>80</v>
      </c>
      <c r="D3" s="6">
        <v>25</v>
      </c>
    </row>
    <row r="4" spans="1:4" x14ac:dyDescent="0.25">
      <c r="A4" s="6">
        <f>A3+$A$3</f>
        <v>9.1111111111111115E-3</v>
      </c>
      <c r="B4" s="6">
        <f t="shared" si="0"/>
        <v>78.915599630351863</v>
      </c>
      <c r="C4" s="6">
        <v>80</v>
      </c>
      <c r="D4" s="6">
        <v>25</v>
      </c>
    </row>
    <row r="5" spans="1:4" x14ac:dyDescent="0.25">
      <c r="A5" s="6">
        <f t="shared" ref="A5:A11" si="1">A4+$A$3</f>
        <v>1.3666666666666667E-2</v>
      </c>
      <c r="B5" s="6">
        <f t="shared" si="0"/>
        <v>78.477160465296095</v>
      </c>
      <c r="C5" s="6">
        <v>80</v>
      </c>
      <c r="D5" s="6">
        <v>25</v>
      </c>
    </row>
    <row r="6" spans="1:4" x14ac:dyDescent="0.25">
      <c r="A6" s="6">
        <f t="shared" si="1"/>
        <v>1.8222222222222223E-2</v>
      </c>
      <c r="B6" s="6">
        <f t="shared" si="0"/>
        <v>78.107118233565075</v>
      </c>
      <c r="C6" s="6">
        <v>80</v>
      </c>
      <c r="D6" s="6">
        <v>25</v>
      </c>
    </row>
    <row r="7" spans="1:4" x14ac:dyDescent="0.25">
      <c r="A7" s="6">
        <f t="shared" si="1"/>
        <v>2.2777777777777779E-2</v>
      </c>
      <c r="B7" s="6">
        <f t="shared" si="0"/>
        <v>77.804999653600262</v>
      </c>
      <c r="C7" s="6">
        <v>80</v>
      </c>
      <c r="D7" s="6">
        <v>25</v>
      </c>
    </row>
    <row r="8" spans="1:4" x14ac:dyDescent="0.25">
      <c r="A8" s="6">
        <f t="shared" si="1"/>
        <v>2.7333333333333334E-2</v>
      </c>
      <c r="B8" s="6">
        <f t="shared" si="0"/>
        <v>77.570418317742906</v>
      </c>
      <c r="C8" s="6">
        <v>80</v>
      </c>
      <c r="D8" s="6">
        <v>25</v>
      </c>
    </row>
    <row r="9" spans="1:4" x14ac:dyDescent="0.25">
      <c r="A9" s="6">
        <f t="shared" si="1"/>
        <v>3.188888888888889E-2</v>
      </c>
      <c r="B9" s="6">
        <f t="shared" si="0"/>
        <v>77.403074198021329</v>
      </c>
      <c r="C9" s="6">
        <v>80</v>
      </c>
      <c r="D9" s="6">
        <v>25</v>
      </c>
    </row>
    <row r="10" spans="1:4" x14ac:dyDescent="0.25">
      <c r="A10" s="6">
        <f t="shared" si="1"/>
        <v>3.6444444444444446E-2</v>
      </c>
      <c r="B10" s="6">
        <f t="shared" si="0"/>
        <v>77.302753262417014</v>
      </c>
      <c r="C10" s="6">
        <v>80</v>
      </c>
      <c r="D10" s="6">
        <v>25</v>
      </c>
    </row>
    <row r="11" spans="1:4" x14ac:dyDescent="0.25">
      <c r="A11" s="6">
        <f t="shared" si="1"/>
        <v>4.1000000000000002E-2</v>
      </c>
      <c r="B11" s="6">
        <f>25+55*COSH(7.85*(0.041-A11))/COSH(7.85*0.041)</f>
        <v>77.269327201119097</v>
      </c>
      <c r="C11" s="6">
        <v>80</v>
      </c>
      <c r="D11" s="6">
        <v>25</v>
      </c>
    </row>
    <row r="19" spans="6:6" x14ac:dyDescent="0.25">
      <c r="F19" t="s">
        <v>25</v>
      </c>
    </row>
    <row r="20" spans="6:6" x14ac:dyDescent="0.25">
      <c r="F20" t="s">
        <v>26</v>
      </c>
    </row>
    <row r="21" spans="6:6" x14ac:dyDescent="0.25">
      <c r="F21" t="s">
        <v>27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39BAB-CCA8-44BF-9BF5-853DFAF4550D}">
  <dimension ref="A1:I23"/>
  <sheetViews>
    <sheetView workbookViewId="0">
      <selection activeCell="C36" sqref="C36"/>
    </sheetView>
  </sheetViews>
  <sheetFormatPr defaultRowHeight="15" x14ac:dyDescent="0.25"/>
  <cols>
    <col min="1" max="1" width="29.28515625" customWidth="1"/>
    <col min="2" max="2" width="15.7109375" customWidth="1"/>
    <col min="4" max="5" width="9.140625" customWidth="1"/>
    <col min="8" max="8" width="40.42578125" customWidth="1"/>
    <col min="9" max="9" width="15.85546875" customWidth="1"/>
  </cols>
  <sheetData>
    <row r="1" spans="1:9" ht="15" customHeight="1" x14ac:dyDescent="0.25">
      <c r="A1" s="3" t="s">
        <v>0</v>
      </c>
      <c r="B1" s="3" t="s">
        <v>1</v>
      </c>
      <c r="H1" s="3" t="s">
        <v>0</v>
      </c>
      <c r="I1" s="3" t="s">
        <v>1</v>
      </c>
    </row>
    <row r="2" spans="1:9" x14ac:dyDescent="0.25">
      <c r="A2" s="4" t="s">
        <v>29</v>
      </c>
      <c r="B2" s="5">
        <v>0.04</v>
      </c>
      <c r="H2" s="9" t="s">
        <v>53</v>
      </c>
      <c r="I2" s="15">
        <v>10</v>
      </c>
    </row>
    <row r="3" spans="1:9" x14ac:dyDescent="0.25">
      <c r="A3" s="4" t="s">
        <v>30</v>
      </c>
      <c r="B3" s="5">
        <v>2E-3</v>
      </c>
      <c r="H3" s="9" t="s">
        <v>55</v>
      </c>
      <c r="I3" s="15">
        <f>I2*B11</f>
        <v>6.232E-2</v>
      </c>
    </row>
    <row r="4" spans="1:9" x14ac:dyDescent="0.25">
      <c r="A4" s="4" t="s">
        <v>31</v>
      </c>
      <c r="B4" s="5">
        <v>7.5999999999999998E-2</v>
      </c>
      <c r="H4" s="6" t="s">
        <v>56</v>
      </c>
      <c r="I4" s="15">
        <f>B15*B4</f>
        <v>7.9799999999999992E-3</v>
      </c>
    </row>
    <row r="5" spans="1:9" x14ac:dyDescent="0.25">
      <c r="A5" s="4" t="s">
        <v>32</v>
      </c>
      <c r="B5" s="5">
        <v>0.156</v>
      </c>
      <c r="H5" s="9" t="s">
        <v>57</v>
      </c>
      <c r="I5" s="15">
        <f>I4-I2*(B3*B4)</f>
        <v>6.4599999999999987E-3</v>
      </c>
    </row>
    <row r="6" spans="1:9" ht="16.5" x14ac:dyDescent="0.25">
      <c r="A6" s="4" t="s">
        <v>34</v>
      </c>
      <c r="B6" s="5">
        <v>1.5200000000000001E-4</v>
      </c>
      <c r="H6" s="9" t="s">
        <v>54</v>
      </c>
      <c r="I6" s="15">
        <f>(B22*I5*(B20-B21))+(B10*B22*I3*(B20-B21))</f>
        <v>44.031979591778409</v>
      </c>
    </row>
    <row r="7" spans="1:9" ht="16.5" x14ac:dyDescent="0.25">
      <c r="A7" s="4" t="s">
        <v>36</v>
      </c>
      <c r="B7" s="5">
        <v>7.8472254567089532</v>
      </c>
      <c r="H7" s="9" t="s">
        <v>52</v>
      </c>
      <c r="I7" s="15">
        <f>I6/(B22*I4*(B20-B21))</f>
        <v>8.3602908012034671</v>
      </c>
    </row>
    <row r="8" spans="1:9" x14ac:dyDescent="0.25">
      <c r="A8" s="4" t="s">
        <v>38</v>
      </c>
      <c r="B8" s="5">
        <v>4.1000000000000002E-2</v>
      </c>
      <c r="H8" s="9" t="s">
        <v>58</v>
      </c>
      <c r="I8" s="15">
        <f>(B20-B21)/I6</f>
        <v>1.2490921487043367</v>
      </c>
    </row>
    <row r="9" spans="1:9" x14ac:dyDescent="0.25">
      <c r="A9" s="7" t="s">
        <v>39</v>
      </c>
      <c r="B9" s="5">
        <v>0.32173624372506709</v>
      </c>
      <c r="H9" s="9" t="s">
        <v>59</v>
      </c>
      <c r="I9" s="15">
        <v>0.9</v>
      </c>
    </row>
    <row r="10" spans="1:9" x14ac:dyDescent="0.25">
      <c r="A10" s="4" t="s">
        <v>40</v>
      </c>
      <c r="B10" s="5">
        <v>0.9668665050321511</v>
      </c>
      <c r="H10" s="9" t="s">
        <v>60</v>
      </c>
      <c r="I10" s="15">
        <v>1.2</v>
      </c>
    </row>
    <row r="11" spans="1:9" ht="16.5" x14ac:dyDescent="0.25">
      <c r="A11" s="4" t="s">
        <v>41</v>
      </c>
      <c r="B11" s="5">
        <v>6.2319999999999997E-3</v>
      </c>
    </row>
    <row r="12" spans="1:9" x14ac:dyDescent="0.25">
      <c r="A12" s="7" t="s">
        <v>42</v>
      </c>
      <c r="B12" s="5">
        <v>4.1131199999999994</v>
      </c>
    </row>
    <row r="13" spans="1:9" x14ac:dyDescent="0.25">
      <c r="A13" s="7" t="s">
        <v>43</v>
      </c>
      <c r="B13" s="5">
        <v>3.9768379591778409</v>
      </c>
    </row>
    <row r="14" spans="1:9" x14ac:dyDescent="0.25">
      <c r="A14" s="4" t="s">
        <v>44</v>
      </c>
      <c r="B14" s="5">
        <v>39.641526706318196</v>
      </c>
    </row>
    <row r="15" spans="1:9" x14ac:dyDescent="0.25">
      <c r="A15" s="4" t="s">
        <v>51</v>
      </c>
      <c r="B15" s="5">
        <f>105/1000</f>
        <v>0.105</v>
      </c>
    </row>
    <row r="18" spans="1:2" ht="15.75" thickBot="1" x14ac:dyDescent="0.3">
      <c r="A18" s="8" t="s">
        <v>18</v>
      </c>
    </row>
    <row r="19" spans="1:2" ht="15.75" thickBot="1" x14ac:dyDescent="0.3">
      <c r="A19" s="1" t="s">
        <v>19</v>
      </c>
      <c r="B19" s="1" t="s">
        <v>1</v>
      </c>
    </row>
    <row r="20" spans="1:2" ht="15.75" thickBot="1" x14ac:dyDescent="0.3">
      <c r="A20" s="2" t="s">
        <v>48</v>
      </c>
      <c r="B20" s="2">
        <v>80</v>
      </c>
    </row>
    <row r="21" spans="1:2" ht="15.75" thickBot="1" x14ac:dyDescent="0.3">
      <c r="A21" s="2" t="s">
        <v>49</v>
      </c>
      <c r="B21" s="2">
        <v>25</v>
      </c>
    </row>
    <row r="22" spans="1:2" ht="30.75" thickBot="1" x14ac:dyDescent="0.3">
      <c r="A22" s="2" t="s">
        <v>50</v>
      </c>
      <c r="B22" s="2">
        <v>12</v>
      </c>
    </row>
    <row r="23" spans="1:2" ht="15.75" thickBot="1" x14ac:dyDescent="0.3">
      <c r="A23" s="2" t="s">
        <v>20</v>
      </c>
      <c r="B23" s="2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44B1A-4584-4814-AC34-37B6989822A6}">
  <dimension ref="A1:M50"/>
  <sheetViews>
    <sheetView workbookViewId="0">
      <selection activeCell="G29" sqref="G29"/>
    </sheetView>
  </sheetViews>
  <sheetFormatPr defaultRowHeight="15" x14ac:dyDescent="0.25"/>
  <cols>
    <col min="1" max="1" width="20.140625" customWidth="1"/>
    <col min="2" max="2" width="14.28515625" customWidth="1"/>
    <col min="3" max="3" width="10" customWidth="1"/>
    <col min="4" max="5" width="14.7109375" customWidth="1"/>
    <col min="6" max="6" width="15" customWidth="1"/>
    <col min="7" max="7" width="15.5703125" customWidth="1"/>
    <col min="8" max="8" width="18.140625" customWidth="1"/>
    <col min="12" max="12" width="11.42578125" customWidth="1"/>
  </cols>
  <sheetData>
    <row r="1" spans="1:13" x14ac:dyDescent="0.25">
      <c r="A1" s="10" t="s">
        <v>61</v>
      </c>
      <c r="B1" s="10" t="s">
        <v>62</v>
      </c>
      <c r="C1" s="10" t="s">
        <v>63</v>
      </c>
      <c r="D1" s="10" t="s">
        <v>64</v>
      </c>
      <c r="E1" s="16"/>
      <c r="F1" s="18" t="s">
        <v>72</v>
      </c>
      <c r="G1" t="s">
        <v>70</v>
      </c>
      <c r="H1" t="s">
        <v>71</v>
      </c>
      <c r="J1" s="19" t="s">
        <v>73</v>
      </c>
      <c r="L1" t="s">
        <v>70</v>
      </c>
      <c r="M1" t="s">
        <v>71</v>
      </c>
    </row>
    <row r="2" spans="1:13" x14ac:dyDescent="0.25">
      <c r="A2" s="11" t="s">
        <v>65</v>
      </c>
      <c r="B2" s="12">
        <v>80</v>
      </c>
      <c r="C2" s="13">
        <v>79.766999999999996</v>
      </c>
      <c r="D2" s="13">
        <f>(B2-C2)/C2*100</f>
        <v>0.29210074341520192</v>
      </c>
      <c r="E2" s="17"/>
      <c r="G2" s="14">
        <v>0</v>
      </c>
      <c r="H2" s="14">
        <v>79.766999999999996</v>
      </c>
      <c r="L2" s="20">
        <f>A12*1000</f>
        <v>0</v>
      </c>
      <c r="M2">
        <v>80</v>
      </c>
    </row>
    <row r="3" spans="1:13" x14ac:dyDescent="0.25">
      <c r="A3" s="11" t="s">
        <v>66</v>
      </c>
      <c r="B3" s="12">
        <v>77.269000000000005</v>
      </c>
      <c r="C3" s="13">
        <v>76.409000000000006</v>
      </c>
      <c r="D3" s="13">
        <f t="shared" ref="D3:D6" si="0">(B3-C3)/C3*100</f>
        <v>1.1255218626078072</v>
      </c>
      <c r="E3" s="17"/>
      <c r="G3" s="14">
        <v>0.83333000000000002</v>
      </c>
      <c r="H3" s="14">
        <v>79.602999999999994</v>
      </c>
      <c r="L3" s="20">
        <f t="shared" ref="L3:L11" si="1">A13*1000</f>
        <v>4.5555555555555554</v>
      </c>
      <c r="M3">
        <v>79.422996489514674</v>
      </c>
    </row>
    <row r="4" spans="1:13" x14ac:dyDescent="0.25">
      <c r="A4" s="11" t="s">
        <v>67</v>
      </c>
      <c r="B4" s="12">
        <v>78.83</v>
      </c>
      <c r="C4" s="13">
        <v>78.305999999999997</v>
      </c>
      <c r="D4" s="13">
        <f t="shared" si="0"/>
        <v>0.66916966771384179</v>
      </c>
      <c r="E4" s="17"/>
      <c r="G4" s="14">
        <v>1.6667000000000001</v>
      </c>
      <c r="H4" s="14">
        <v>79.47</v>
      </c>
      <c r="L4" s="20">
        <f t="shared" si="1"/>
        <v>9.1111111111111107</v>
      </c>
      <c r="M4">
        <v>78.915599630351863</v>
      </c>
    </row>
    <row r="5" spans="1:13" x14ac:dyDescent="0.25">
      <c r="A5" s="11" t="s">
        <v>68</v>
      </c>
      <c r="B5" s="12">
        <v>77.98</v>
      </c>
      <c r="C5" s="13">
        <v>77.277000000000001</v>
      </c>
      <c r="D5" s="13">
        <f t="shared" si="0"/>
        <v>0.90971440402707515</v>
      </c>
      <c r="E5" s="17"/>
      <c r="G5" s="14">
        <v>2.5</v>
      </c>
      <c r="H5" s="14">
        <v>79.340999999999994</v>
      </c>
      <c r="L5" s="20">
        <f t="shared" si="1"/>
        <v>13.666666666666668</v>
      </c>
      <c r="M5">
        <v>78.477160465296095</v>
      </c>
    </row>
    <row r="6" spans="1:13" x14ac:dyDescent="0.25">
      <c r="A6" s="25" t="s">
        <v>69</v>
      </c>
      <c r="B6" s="26">
        <v>77.459999999999994</v>
      </c>
      <c r="C6" s="27">
        <v>76.644999999999996</v>
      </c>
      <c r="D6" s="27">
        <f t="shared" si="0"/>
        <v>1.0633439885184914</v>
      </c>
      <c r="E6" s="17"/>
      <c r="G6" s="14">
        <v>3.3332999999999999</v>
      </c>
      <c r="H6" s="14">
        <v>79.215000000000003</v>
      </c>
      <c r="L6" s="20">
        <f t="shared" si="1"/>
        <v>18.222222222222221</v>
      </c>
      <c r="M6">
        <v>78.107118233565075</v>
      </c>
    </row>
    <row r="7" spans="1:13" ht="28.5" customHeight="1" x14ac:dyDescent="0.25">
      <c r="A7" s="28" t="s">
        <v>82</v>
      </c>
      <c r="B7" s="28">
        <v>3.9769999999999999</v>
      </c>
      <c r="C7" s="28" t="s">
        <v>83</v>
      </c>
      <c r="D7" s="28" t="s">
        <v>84</v>
      </c>
      <c r="G7" s="14">
        <v>4.1666999999999996</v>
      </c>
      <c r="H7" s="14">
        <v>79.091999999999999</v>
      </c>
      <c r="L7" s="20">
        <f t="shared" si="1"/>
        <v>22.777777777777779</v>
      </c>
      <c r="M7">
        <v>77.804999653600262</v>
      </c>
    </row>
    <row r="8" spans="1:13" ht="28.5" customHeight="1" x14ac:dyDescent="0.25">
      <c r="A8" s="28" t="s">
        <v>85</v>
      </c>
      <c r="B8" s="28">
        <v>0.96689999999999998</v>
      </c>
      <c r="C8" s="28" t="s">
        <v>83</v>
      </c>
      <c r="D8" s="28" t="s">
        <v>84</v>
      </c>
      <c r="G8" s="14">
        <v>5</v>
      </c>
      <c r="H8" s="14">
        <v>78.971000000000004</v>
      </c>
      <c r="L8" s="20">
        <f t="shared" si="1"/>
        <v>27.333333333333336</v>
      </c>
      <c r="M8">
        <v>77.570418317742906</v>
      </c>
    </row>
    <row r="9" spans="1:13" ht="25.5" customHeight="1" x14ac:dyDescent="0.25">
      <c r="A9" s="28" t="s">
        <v>58</v>
      </c>
      <c r="B9" s="28">
        <v>1.2490000000000001</v>
      </c>
      <c r="C9" s="28">
        <v>1.21</v>
      </c>
      <c r="D9" s="28">
        <v>3.12</v>
      </c>
      <c r="G9" s="14">
        <v>5.8333000000000004</v>
      </c>
      <c r="H9" s="14">
        <v>78.852999999999994</v>
      </c>
      <c r="L9" s="20">
        <f t="shared" si="1"/>
        <v>31.888888888888889</v>
      </c>
      <c r="M9">
        <v>77.403074198021329</v>
      </c>
    </row>
    <row r="10" spans="1:13" x14ac:dyDescent="0.25">
      <c r="A10" s="19" t="s">
        <v>74</v>
      </c>
      <c r="G10" s="14">
        <v>6.6666999999999996</v>
      </c>
      <c r="H10" s="14">
        <v>78.738</v>
      </c>
      <c r="L10" s="20">
        <f t="shared" si="1"/>
        <v>36.444444444444443</v>
      </c>
      <c r="M10">
        <v>77.302753262417014</v>
      </c>
    </row>
    <row r="11" spans="1:13" x14ac:dyDescent="0.25">
      <c r="A11" s="22" t="s">
        <v>22</v>
      </c>
      <c r="B11" s="22" t="s">
        <v>21</v>
      </c>
      <c r="C11" s="22" t="s">
        <v>23</v>
      </c>
      <c r="D11" s="22" t="s">
        <v>24</v>
      </c>
      <c r="G11" s="14">
        <v>7.5</v>
      </c>
      <c r="H11" s="14">
        <v>78.626000000000005</v>
      </c>
      <c r="L11" s="20">
        <f t="shared" si="1"/>
        <v>41</v>
      </c>
      <c r="M11">
        <v>77.269327201119097</v>
      </c>
    </row>
    <row r="12" spans="1:13" x14ac:dyDescent="0.25">
      <c r="A12" s="21">
        <v>0</v>
      </c>
      <c r="B12" s="6">
        <v>80</v>
      </c>
      <c r="C12" s="6">
        <v>80</v>
      </c>
      <c r="D12" s="6">
        <v>25</v>
      </c>
      <c r="G12" s="14">
        <v>8.3332999999999995</v>
      </c>
      <c r="H12" s="14">
        <v>78.516999999999996</v>
      </c>
    </row>
    <row r="13" spans="1:13" x14ac:dyDescent="0.25">
      <c r="A13" s="21">
        <v>4.5555555555555557E-3</v>
      </c>
      <c r="B13" s="6">
        <v>79.422996489514674</v>
      </c>
      <c r="C13" s="6">
        <v>80</v>
      </c>
      <c r="D13" s="6">
        <v>25</v>
      </c>
      <c r="G13" s="14">
        <v>9.1667000000000005</v>
      </c>
      <c r="H13" s="14">
        <v>78.41</v>
      </c>
    </row>
    <row r="14" spans="1:13" x14ac:dyDescent="0.25">
      <c r="A14" s="21">
        <v>9.1111111111111115E-3</v>
      </c>
      <c r="B14" s="6">
        <v>78.915599630351863</v>
      </c>
      <c r="C14" s="6">
        <v>80</v>
      </c>
      <c r="D14" s="6">
        <v>25</v>
      </c>
      <c r="G14" s="14">
        <v>10</v>
      </c>
      <c r="H14" s="14">
        <v>78.305999999999997</v>
      </c>
    </row>
    <row r="15" spans="1:13" x14ac:dyDescent="0.25">
      <c r="A15" s="21">
        <v>1.3666666666666667E-2</v>
      </c>
      <c r="B15" s="6">
        <v>78.477160465296095</v>
      </c>
      <c r="C15" s="6">
        <v>80</v>
      </c>
      <c r="D15" s="6">
        <v>25</v>
      </c>
      <c r="G15" s="14">
        <v>10.833</v>
      </c>
      <c r="H15" s="14">
        <v>78.204999999999998</v>
      </c>
    </row>
    <row r="16" spans="1:13" x14ac:dyDescent="0.25">
      <c r="A16" s="21">
        <v>1.8222222222222223E-2</v>
      </c>
      <c r="B16" s="6">
        <v>78.107118233565075</v>
      </c>
      <c r="C16" s="6">
        <v>80</v>
      </c>
      <c r="D16" s="6">
        <v>25</v>
      </c>
      <c r="G16" s="14">
        <v>11.667</v>
      </c>
      <c r="H16" s="14">
        <v>78.106999999999999</v>
      </c>
    </row>
    <row r="17" spans="1:8" x14ac:dyDescent="0.25">
      <c r="A17" s="21">
        <v>2.2777777777777779E-2</v>
      </c>
      <c r="B17" s="6">
        <v>77.804999653600262</v>
      </c>
      <c r="C17" s="6">
        <v>80</v>
      </c>
      <c r="D17" s="6">
        <v>25</v>
      </c>
      <c r="G17" s="14">
        <v>12.5</v>
      </c>
      <c r="H17" s="14">
        <v>78.010999999999996</v>
      </c>
    </row>
    <row r="18" spans="1:8" x14ac:dyDescent="0.25">
      <c r="A18" s="21">
        <v>2.7333333333333334E-2</v>
      </c>
      <c r="B18" s="6">
        <v>77.570418317742906</v>
      </c>
      <c r="C18" s="6">
        <v>80</v>
      </c>
      <c r="D18" s="6">
        <v>25</v>
      </c>
      <c r="G18" s="14">
        <v>13.333</v>
      </c>
      <c r="H18" s="14">
        <v>77.918999999999997</v>
      </c>
    </row>
    <row r="19" spans="1:8" x14ac:dyDescent="0.25">
      <c r="A19" s="21">
        <v>3.188888888888889E-2</v>
      </c>
      <c r="B19" s="6">
        <v>77.403074198021329</v>
      </c>
      <c r="C19" s="6">
        <v>80</v>
      </c>
      <c r="D19" s="6">
        <v>25</v>
      </c>
      <c r="G19" s="14">
        <v>14.167</v>
      </c>
      <c r="H19" s="14">
        <v>77.828999999999994</v>
      </c>
    </row>
    <row r="20" spans="1:8" x14ac:dyDescent="0.25">
      <c r="A20" s="21">
        <v>3.6444444444444446E-2</v>
      </c>
      <c r="B20" s="6">
        <v>77.302753262417014</v>
      </c>
      <c r="C20" s="6">
        <v>80</v>
      </c>
      <c r="D20" s="6">
        <v>25</v>
      </c>
      <c r="G20" s="14">
        <v>15</v>
      </c>
      <c r="H20" s="14">
        <v>77.742000000000004</v>
      </c>
    </row>
    <row r="21" spans="1:8" x14ac:dyDescent="0.25">
      <c r="A21" s="21">
        <v>4.1000000000000002E-2</v>
      </c>
      <c r="B21" s="6">
        <v>77.269327201119097</v>
      </c>
      <c r="C21" s="6">
        <v>80</v>
      </c>
      <c r="D21" s="6">
        <v>25</v>
      </c>
      <c r="G21" s="14">
        <v>15.833</v>
      </c>
      <c r="H21" s="14">
        <v>77.656999999999996</v>
      </c>
    </row>
    <row r="22" spans="1:8" x14ac:dyDescent="0.25">
      <c r="G22" s="14">
        <v>16.667000000000002</v>
      </c>
      <c r="H22" s="14">
        <v>77.575999999999993</v>
      </c>
    </row>
    <row r="23" spans="1:8" x14ac:dyDescent="0.25">
      <c r="G23" s="14">
        <v>17.5</v>
      </c>
      <c r="H23" s="14">
        <v>77.497</v>
      </c>
    </row>
    <row r="24" spans="1:8" x14ac:dyDescent="0.25">
      <c r="G24" s="14">
        <v>18.332999999999998</v>
      </c>
      <c r="H24" s="14">
        <v>77.421000000000006</v>
      </c>
    </row>
    <row r="25" spans="1:8" x14ac:dyDescent="0.25">
      <c r="G25" s="14">
        <v>19.167000000000002</v>
      </c>
      <c r="H25" s="14">
        <v>77.346999999999994</v>
      </c>
    </row>
    <row r="26" spans="1:8" x14ac:dyDescent="0.25">
      <c r="G26" s="14">
        <v>20</v>
      </c>
      <c r="H26" s="14">
        <v>77.277000000000001</v>
      </c>
    </row>
    <row r="27" spans="1:8" x14ac:dyDescent="0.25">
      <c r="G27" s="14">
        <v>20.832999999999998</v>
      </c>
      <c r="H27" s="14">
        <v>77.209000000000003</v>
      </c>
    </row>
    <row r="28" spans="1:8" x14ac:dyDescent="0.25">
      <c r="G28" s="14">
        <v>21.667000000000002</v>
      </c>
      <c r="H28" s="14">
        <v>77.144000000000005</v>
      </c>
    </row>
    <row r="29" spans="1:8" x14ac:dyDescent="0.25">
      <c r="G29" s="14">
        <v>22.5</v>
      </c>
      <c r="H29" s="14">
        <v>77.081999999999994</v>
      </c>
    </row>
    <row r="30" spans="1:8" x14ac:dyDescent="0.25">
      <c r="G30" s="14">
        <v>23.332999999999998</v>
      </c>
      <c r="H30" s="14">
        <v>77.022000000000006</v>
      </c>
    </row>
    <row r="31" spans="1:8" x14ac:dyDescent="0.25">
      <c r="G31" s="14">
        <v>24.167000000000002</v>
      </c>
      <c r="H31" s="14">
        <v>76.965000000000003</v>
      </c>
    </row>
    <row r="32" spans="1:8" x14ac:dyDescent="0.25">
      <c r="G32" s="14">
        <v>25</v>
      </c>
      <c r="H32" s="14">
        <v>76.911000000000001</v>
      </c>
    </row>
    <row r="33" spans="7:8" x14ac:dyDescent="0.25">
      <c r="G33" s="14">
        <v>25.832999999999998</v>
      </c>
      <c r="H33" s="14">
        <v>76.86</v>
      </c>
    </row>
    <row r="34" spans="7:8" x14ac:dyDescent="0.25">
      <c r="G34" s="14">
        <v>26.667000000000002</v>
      </c>
      <c r="H34" s="14">
        <v>76.811999999999998</v>
      </c>
    </row>
    <row r="35" spans="7:8" x14ac:dyDescent="0.25">
      <c r="G35" s="14">
        <v>27.5</v>
      </c>
      <c r="H35" s="14">
        <v>76.766000000000005</v>
      </c>
    </row>
    <row r="36" spans="7:8" x14ac:dyDescent="0.25">
      <c r="G36" s="14">
        <v>28.332999999999998</v>
      </c>
      <c r="H36" s="14">
        <v>76.722999999999999</v>
      </c>
    </row>
    <row r="37" spans="7:8" x14ac:dyDescent="0.25">
      <c r="G37" s="14">
        <v>29.167000000000002</v>
      </c>
      <c r="H37" s="14">
        <v>76.683000000000007</v>
      </c>
    </row>
    <row r="38" spans="7:8" x14ac:dyDescent="0.25">
      <c r="G38" s="14">
        <v>30</v>
      </c>
      <c r="H38" s="14">
        <v>76.644999999999996</v>
      </c>
    </row>
    <row r="39" spans="7:8" x14ac:dyDescent="0.25">
      <c r="G39" s="14">
        <v>30.832999999999998</v>
      </c>
      <c r="H39" s="14">
        <v>76.611000000000004</v>
      </c>
    </row>
    <row r="40" spans="7:8" x14ac:dyDescent="0.25">
      <c r="G40" s="14">
        <v>31.667000000000002</v>
      </c>
      <c r="H40" s="14">
        <v>76.578999999999994</v>
      </c>
    </row>
    <row r="41" spans="7:8" x14ac:dyDescent="0.25">
      <c r="G41" s="14">
        <v>32.5</v>
      </c>
      <c r="H41" s="14">
        <v>76.549000000000007</v>
      </c>
    </row>
    <row r="42" spans="7:8" x14ac:dyDescent="0.25">
      <c r="G42" s="14">
        <v>33.332999999999998</v>
      </c>
      <c r="H42" s="14">
        <v>76.522999999999996</v>
      </c>
    </row>
    <row r="43" spans="7:8" x14ac:dyDescent="0.25">
      <c r="G43" s="14">
        <v>34.167000000000002</v>
      </c>
      <c r="H43" s="14">
        <v>76.498999999999995</v>
      </c>
    </row>
    <row r="44" spans="7:8" x14ac:dyDescent="0.25">
      <c r="G44" s="14">
        <v>35</v>
      </c>
      <c r="H44" s="14">
        <v>76.477999999999994</v>
      </c>
    </row>
    <row r="45" spans="7:8" x14ac:dyDescent="0.25">
      <c r="G45" s="14">
        <v>35.832999999999998</v>
      </c>
      <c r="H45" s="14">
        <v>76.459999999999994</v>
      </c>
    </row>
    <row r="46" spans="7:8" x14ac:dyDescent="0.25">
      <c r="G46" s="14">
        <v>36.667000000000002</v>
      </c>
      <c r="H46" s="14">
        <v>76.444000000000003</v>
      </c>
    </row>
    <row r="47" spans="7:8" x14ac:dyDescent="0.25">
      <c r="G47" s="14">
        <v>37.5</v>
      </c>
      <c r="H47" s="14">
        <v>76.430999999999997</v>
      </c>
    </row>
    <row r="48" spans="7:8" x14ac:dyDescent="0.25">
      <c r="G48" s="14">
        <v>38.332999999999998</v>
      </c>
      <c r="H48" s="14">
        <v>76.421000000000006</v>
      </c>
    </row>
    <row r="49" spans="7:8" x14ac:dyDescent="0.25">
      <c r="G49" s="14">
        <v>39.167000000000002</v>
      </c>
      <c r="H49" s="14">
        <v>76.414000000000001</v>
      </c>
    </row>
    <row r="50" spans="7:8" x14ac:dyDescent="0.25">
      <c r="G50" s="14">
        <v>40</v>
      </c>
      <c r="H50" s="14">
        <v>76.409000000000006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99529-36AF-4F13-A4D7-3C0552D6733E}">
  <dimension ref="A1:M30"/>
  <sheetViews>
    <sheetView tabSelected="1" zoomScale="82" zoomScaleNormal="82" workbookViewId="0">
      <selection activeCell="L33" sqref="L33"/>
    </sheetView>
  </sheetViews>
  <sheetFormatPr defaultRowHeight="15" x14ac:dyDescent="0.25"/>
  <cols>
    <col min="1" max="1" width="24.140625" customWidth="1"/>
    <col min="2" max="2" width="14.42578125" customWidth="1"/>
    <col min="3" max="3" width="20.42578125" customWidth="1"/>
    <col min="4" max="4" width="15.85546875" customWidth="1"/>
    <col min="5" max="5" width="9.140625" customWidth="1"/>
    <col min="8" max="8" width="11.7109375" customWidth="1"/>
    <col min="12" max="12" width="33" customWidth="1"/>
    <col min="13" max="13" width="28.42578125" customWidth="1"/>
  </cols>
  <sheetData>
    <row r="1" spans="1:13" ht="32.25" thickBot="1" x14ac:dyDescent="0.3">
      <c r="A1" s="1" t="s">
        <v>2</v>
      </c>
      <c r="B1" s="1" t="s">
        <v>3</v>
      </c>
      <c r="C1" s="1" t="s">
        <v>4</v>
      </c>
      <c r="D1" s="1" t="s">
        <v>28</v>
      </c>
    </row>
    <row r="2" spans="1:13" ht="15.75" thickBot="1" x14ac:dyDescent="0.3">
      <c r="A2" s="1" t="s">
        <v>5</v>
      </c>
      <c r="B2" s="2" t="s">
        <v>6</v>
      </c>
      <c r="C2" s="2" t="s">
        <v>7</v>
      </c>
      <c r="D2" s="2">
        <v>677</v>
      </c>
    </row>
    <row r="3" spans="1:13" x14ac:dyDescent="0.25">
      <c r="L3" s="3" t="s">
        <v>0</v>
      </c>
      <c r="M3" s="3" t="s">
        <v>1</v>
      </c>
    </row>
    <row r="4" spans="1:13" x14ac:dyDescent="0.25">
      <c r="L4" s="4" t="s">
        <v>29</v>
      </c>
      <c r="M4" s="5">
        <f>B8/1000</f>
        <v>0.04</v>
      </c>
    </row>
    <row r="5" spans="1:13" x14ac:dyDescent="0.25">
      <c r="A5" t="s">
        <v>8</v>
      </c>
      <c r="L5" s="4" t="s">
        <v>30</v>
      </c>
      <c r="M5" s="5">
        <f t="shared" ref="M5" si="0">B9/1000</f>
        <v>2E-3</v>
      </c>
    </row>
    <row r="6" spans="1:13" x14ac:dyDescent="0.25">
      <c r="A6" s="3" t="s">
        <v>0</v>
      </c>
      <c r="B6" s="3" t="s">
        <v>1</v>
      </c>
      <c r="D6" t="s">
        <v>75</v>
      </c>
      <c r="L6" s="4" t="s">
        <v>31</v>
      </c>
      <c r="M6" s="5">
        <f>B10/1000</f>
        <v>7.5999999999999998E-2</v>
      </c>
    </row>
    <row r="7" spans="1:13" ht="21.75" customHeight="1" x14ac:dyDescent="0.25">
      <c r="A7" s="4" t="s">
        <v>9</v>
      </c>
      <c r="B7" s="6">
        <v>4</v>
      </c>
      <c r="D7" s="10" t="s">
        <v>76</v>
      </c>
      <c r="E7" s="10" t="s">
        <v>77</v>
      </c>
      <c r="F7" s="10" t="s">
        <v>78</v>
      </c>
      <c r="G7" s="10" t="s">
        <v>79</v>
      </c>
      <c r="H7" s="10" t="s">
        <v>80</v>
      </c>
      <c r="I7" s="10" t="s">
        <v>81</v>
      </c>
      <c r="L7" s="4" t="s">
        <v>32</v>
      </c>
      <c r="M7" s="5">
        <f>2*(M6+M5)</f>
        <v>0.156</v>
      </c>
    </row>
    <row r="8" spans="1:13" ht="17.25" customHeight="1" x14ac:dyDescent="0.25">
      <c r="A8" s="4" t="s">
        <v>33</v>
      </c>
      <c r="B8" s="6">
        <f>44-B7</f>
        <v>40</v>
      </c>
      <c r="D8" s="11">
        <v>8</v>
      </c>
      <c r="E8" s="24">
        <v>6.407</v>
      </c>
      <c r="F8" s="24">
        <v>0.97760000000000002</v>
      </c>
      <c r="G8" s="24">
        <v>2.681</v>
      </c>
      <c r="H8" s="24">
        <v>29.649000000000001</v>
      </c>
      <c r="I8" s="24">
        <v>1.855</v>
      </c>
      <c r="L8" s="4" t="s">
        <v>34</v>
      </c>
      <c r="M8" s="5">
        <f>M6*M5</f>
        <v>1.5200000000000001E-4</v>
      </c>
    </row>
    <row r="9" spans="1:13" ht="15.75" customHeight="1" x14ac:dyDescent="0.25">
      <c r="A9" s="4" t="s">
        <v>35</v>
      </c>
      <c r="B9" s="6">
        <v>2</v>
      </c>
      <c r="D9" s="11">
        <v>12</v>
      </c>
      <c r="E9" s="24">
        <v>7.8470000000000004</v>
      </c>
      <c r="F9" s="24">
        <v>0.96689999999999998</v>
      </c>
      <c r="G9" s="24">
        <v>3.9769999999999999</v>
      </c>
      <c r="H9" s="24">
        <v>44.031999999999996</v>
      </c>
      <c r="I9" s="24">
        <v>1.2490000000000001</v>
      </c>
      <c r="L9" s="4" t="s">
        <v>36</v>
      </c>
      <c r="M9" s="5">
        <f>SQRT((B29*M7)/(B19*M8))</f>
        <v>7.8472254567089532</v>
      </c>
    </row>
    <row r="10" spans="1:13" x14ac:dyDescent="0.25">
      <c r="A10" s="4" t="s">
        <v>37</v>
      </c>
      <c r="B10" s="6">
        <v>76</v>
      </c>
      <c r="D10" s="11">
        <v>16</v>
      </c>
      <c r="E10" s="24">
        <v>9.0609999999999999</v>
      </c>
      <c r="F10" s="24">
        <v>0.95640000000000003</v>
      </c>
      <c r="G10" s="24">
        <v>5.2450000000000001</v>
      </c>
      <c r="H10" s="24">
        <v>58.134999999999998</v>
      </c>
      <c r="I10" s="24">
        <v>0.94599999999999995</v>
      </c>
      <c r="L10" s="4" t="s">
        <v>38</v>
      </c>
      <c r="M10" s="5">
        <f>M4+(M5/2)</f>
        <v>4.1000000000000002E-2</v>
      </c>
    </row>
    <row r="11" spans="1:13" x14ac:dyDescent="0.25">
      <c r="A11" s="4" t="s">
        <v>10</v>
      </c>
      <c r="B11" s="6">
        <v>10</v>
      </c>
      <c r="L11" s="7" t="s">
        <v>39</v>
      </c>
      <c r="M11" s="5">
        <f>M9*M10</f>
        <v>0.32173624372506709</v>
      </c>
    </row>
    <row r="12" spans="1:13" ht="30" x14ac:dyDescent="0.25">
      <c r="A12" s="4" t="s">
        <v>11</v>
      </c>
      <c r="B12" s="6">
        <v>105</v>
      </c>
      <c r="L12" s="4" t="s">
        <v>40</v>
      </c>
      <c r="M12" s="5">
        <f>(TANH(M11)/M11)</f>
        <v>0.9668665050321511</v>
      </c>
    </row>
    <row r="13" spans="1:13" ht="16.5" x14ac:dyDescent="0.25">
      <c r="A13" s="4" t="s">
        <v>12</v>
      </c>
      <c r="B13" s="6">
        <f>(B12-B11*B9)/B11</f>
        <v>8.5</v>
      </c>
      <c r="L13" s="4" t="s">
        <v>41</v>
      </c>
      <c r="M13" s="5">
        <f>2*M6*M10</f>
        <v>6.2319999999999997E-3</v>
      </c>
    </row>
    <row r="14" spans="1:13" x14ac:dyDescent="0.25">
      <c r="L14" s="7" t="s">
        <v>42</v>
      </c>
      <c r="M14" s="5">
        <f>B29*M13*(B27-B28)</f>
        <v>4.1131199999999994</v>
      </c>
    </row>
    <row r="15" spans="1:13" x14ac:dyDescent="0.25">
      <c r="L15" s="7" t="s">
        <v>43</v>
      </c>
      <c r="M15" s="5">
        <f>M12*M14</f>
        <v>3.9768379591778409</v>
      </c>
    </row>
    <row r="16" spans="1:13" ht="15.75" thickBot="1" x14ac:dyDescent="0.3">
      <c r="A16" s="8" t="s">
        <v>17</v>
      </c>
      <c r="L16" s="4" t="s">
        <v>44</v>
      </c>
      <c r="M16" s="5">
        <f>M15/(B29*M6*M5*(B27-B28))</f>
        <v>39.641526706318196</v>
      </c>
    </row>
    <row r="17" spans="1:2" ht="15.75" thickBot="1" x14ac:dyDescent="0.3">
      <c r="A17" s="1" t="s">
        <v>13</v>
      </c>
      <c r="B17" s="1" t="s">
        <v>1</v>
      </c>
    </row>
    <row r="18" spans="1:2" ht="30.75" thickBot="1" x14ac:dyDescent="0.3">
      <c r="A18" s="2" t="s">
        <v>14</v>
      </c>
      <c r="B18" s="2" t="s">
        <v>15</v>
      </c>
    </row>
    <row r="19" spans="1:2" ht="30.75" thickBot="1" x14ac:dyDescent="0.3">
      <c r="A19" s="2" t="s">
        <v>45</v>
      </c>
      <c r="B19" s="2">
        <v>200</v>
      </c>
    </row>
    <row r="20" spans="1:2" ht="15.75" thickBot="1" x14ac:dyDescent="0.3">
      <c r="A20" s="2" t="s">
        <v>46</v>
      </c>
      <c r="B20" s="2">
        <v>2700</v>
      </c>
    </row>
    <row r="21" spans="1:2" ht="15.75" thickBot="1" x14ac:dyDescent="0.3">
      <c r="A21" s="2" t="s">
        <v>47</v>
      </c>
      <c r="B21" s="2">
        <v>900</v>
      </c>
    </row>
    <row r="22" spans="1:2" ht="30.75" thickBot="1" x14ac:dyDescent="0.3">
      <c r="A22" s="2" t="s">
        <v>16</v>
      </c>
      <c r="B22" s="2">
        <v>0.86</v>
      </c>
    </row>
    <row r="25" spans="1:2" ht="15.75" thickBot="1" x14ac:dyDescent="0.3">
      <c r="A25" s="8" t="s">
        <v>18</v>
      </c>
    </row>
    <row r="26" spans="1:2" ht="15.75" thickBot="1" x14ac:dyDescent="0.3">
      <c r="A26" s="1" t="s">
        <v>19</v>
      </c>
      <c r="B26" s="1" t="s">
        <v>1</v>
      </c>
    </row>
    <row r="27" spans="1:2" ht="15.75" thickBot="1" x14ac:dyDescent="0.3">
      <c r="A27" s="2" t="s">
        <v>48</v>
      </c>
      <c r="B27" s="2">
        <v>80</v>
      </c>
    </row>
    <row r="28" spans="1:2" ht="30.75" thickBot="1" x14ac:dyDescent="0.3">
      <c r="A28" s="2" t="s">
        <v>49</v>
      </c>
      <c r="B28" s="2">
        <v>25</v>
      </c>
    </row>
    <row r="29" spans="1:2" ht="30.75" thickBot="1" x14ac:dyDescent="0.3">
      <c r="A29" s="2" t="s">
        <v>50</v>
      </c>
      <c r="B29" s="2">
        <v>12</v>
      </c>
    </row>
    <row r="30" spans="1:2" ht="15.75" thickBot="1" x14ac:dyDescent="0.3">
      <c r="A30" s="2" t="s">
        <v>20</v>
      </c>
      <c r="B30" s="2">
        <v>60</v>
      </c>
    </row>
  </sheetData>
  <pageMargins left="0.7" right="0.7" top="0.75" bottom="0.75" header="0.3" footer="0.3"/>
  <pageSetup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0F0B92D886A04DAC72E375FCC88FB4" ma:contentTypeVersion="13" ma:contentTypeDescription="Create a new document." ma:contentTypeScope="" ma:versionID="467b8b4852b014ea49bf0b2085541e00">
  <xsd:schema xmlns:xsd="http://www.w3.org/2001/XMLSchema" xmlns:xs="http://www.w3.org/2001/XMLSchema" xmlns:p="http://schemas.microsoft.com/office/2006/metadata/properties" xmlns:ns3="005f0376-c3c2-4c95-840a-ed3a7d02c7f7" xmlns:ns4="576c7d36-2d9c-4db8-bf71-e1840c009d33" targetNamespace="http://schemas.microsoft.com/office/2006/metadata/properties" ma:root="true" ma:fieldsID="041f4de21f09dfa181ca3e405e14f675" ns3:_="" ns4:_="">
    <xsd:import namespace="005f0376-c3c2-4c95-840a-ed3a7d02c7f7"/>
    <xsd:import namespace="576c7d36-2d9c-4db8-bf71-e1840c009d3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  <xsd:element ref="ns4:MediaServiceSystemTags" minOccurs="0"/>
                <xsd:element ref="ns4:MediaServiceGenerationTime" minOccurs="0"/>
                <xsd:element ref="ns4:MediaServiceEventHashCode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5f0376-c3c2-4c95-840a-ed3a7d02c7f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6c7d36-2d9c-4db8-bf71-e1840c009d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76c7d36-2d9c-4db8-bf71-e1840c009d33" xsi:nil="true"/>
  </documentManagement>
</p:properties>
</file>

<file path=customXml/itemProps1.xml><?xml version="1.0" encoding="utf-8"?>
<ds:datastoreItem xmlns:ds="http://schemas.openxmlformats.org/officeDocument/2006/customXml" ds:itemID="{A14DDA3A-7CEE-439D-84D4-9B8D8273A1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5f0376-c3c2-4c95-840a-ed3a7d02c7f7"/>
    <ds:schemaRef ds:uri="576c7d36-2d9c-4db8-bf71-e1840c009d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0EE98B-D171-46DA-BFED-90CF136382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473775-ACC7-40D4-A6A4-682AD60CC92F}">
  <ds:schemaRefs>
    <ds:schemaRef ds:uri="http://schemas.microsoft.com/office/2006/documentManagement/types"/>
    <ds:schemaRef ds:uri="005f0376-c3c2-4c95-840a-ed3a7d02c7f7"/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576c7d36-2d9c-4db8-bf71-e1840c009d3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Fin Calculations</vt:lpstr>
      <vt:lpstr>Temprature Dist. Table</vt:lpstr>
      <vt:lpstr>Heat Sink Performane</vt:lpstr>
      <vt:lpstr>Comparison Table</vt:lpstr>
      <vt:lpstr>Study Data and Charts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Utkrisht K. Batra</dc:creator>
  <cp:lastModifiedBy>Utkrisht K. Batra</cp:lastModifiedBy>
  <dcterms:created xsi:type="dcterms:W3CDTF">2026-04-15T19:25:00Z</dcterms:created>
  <dcterms:modified xsi:type="dcterms:W3CDTF">2026-04-20T18:24:02Z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0x010100260F0B92D886A04DAC72E375FCC88FB4</vt:lpwstr>
  </property>
</Properties>
</file>